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328+MO/BDRRKTCMFOoLr1PBYkb8N7IpKqn69SOxQzgcwrXNIdpbAnYjlBPQRLPhNK0mDMQwg/5Y2nMyzp9UXpA==" workbookSaltValue="BRBIFzJULm1hd1mGqZL11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Q32" i="21"/>
  <c r="AJ32" i="20"/>
  <c r="G30" i="14"/>
  <c r="G23" i="14"/>
  <c r="U18" i="11"/>
  <c r="AX32" i="20"/>
  <c r="Y32" i="20"/>
  <c r="L32" i="20"/>
  <c r="AG32" i="20"/>
  <c r="H32" i="20"/>
  <c r="T32" i="21"/>
  <c r="F32" i="20"/>
  <c r="AF32" i="20"/>
  <c r="G26" i="14"/>
  <c r="S32" i="20"/>
  <c r="K32" i="20"/>
  <c r="O17" i="11"/>
  <c r="BF16" i="8" l="1"/>
  <c r="J16" i="7" s="1"/>
  <c r="F16" i="11"/>
  <c r="AQ16" i="11" s="1"/>
  <c r="T31" i="8"/>
  <c r="R13" i="17"/>
  <c r="P13" i="14"/>
  <c r="R13" i="14" s="1"/>
  <c r="F11" i="16"/>
  <c r="BL11" i="16" s="1"/>
  <c r="BG17" i="13"/>
  <c r="R8" i="9"/>
  <c r="S13" i="14" s="1"/>
  <c r="V13" i="14" s="1"/>
  <c r="AA10" i="16"/>
  <c r="AA20" i="16"/>
  <c r="U10" i="21"/>
  <c r="AZ20" i="11"/>
  <c r="L13" i="2"/>
  <c r="L29" i="2"/>
  <c r="S29" i="14"/>
  <c r="V29" i="14" s="1"/>
  <c r="R19" i="14"/>
  <c r="T25" i="11"/>
  <c r="S16" i="14"/>
  <c r="V16" i="14" s="1"/>
  <c r="AA28" i="16"/>
  <c r="X13" i="17"/>
  <c r="X9" i="17"/>
  <c r="X19" i="20"/>
  <c r="V19"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J31" i="8"/>
  <c r="I25" i="3"/>
  <c r="BE28" i="8"/>
  <c r="AZ30" i="8"/>
  <c r="AS26" i="21"/>
  <c r="AL20" i="11"/>
  <c r="L21" i="14"/>
  <c r="B19" i="6"/>
  <c r="M14" i="2"/>
  <c r="N14" i="2"/>
  <c r="N23" i="2"/>
  <c r="R31" i="8"/>
  <c r="AB31" i="8"/>
  <c r="F12" i="11"/>
  <c r="AQ12" i="11" s="1"/>
  <c r="H12" i="2"/>
  <c r="C19" i="6"/>
  <c r="F21" i="2"/>
  <c r="J21" i="2"/>
  <c r="BF23" i="19"/>
  <c r="CJ31" i="19"/>
  <c r="CN31" i="19"/>
  <c r="BC23" i="13"/>
  <c r="BF23" i="13" s="1"/>
  <c r="BB23" i="13"/>
  <c r="BD20" i="13"/>
  <c r="BD22" i="13"/>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M13" i="11"/>
  <c r="C9" i="6"/>
  <c r="J9" i="2"/>
  <c r="C23" i="2"/>
  <c r="D23" i="2" s="1"/>
  <c r="AL16" i="11"/>
  <c r="D16" i="6"/>
  <c r="AN16" i="11"/>
  <c r="C16" i="6"/>
  <c r="I16" i="12" s="1"/>
  <c r="J9" i="7"/>
  <c r="BI20" i="16"/>
  <c r="H16" i="7"/>
  <c r="H25" i="7"/>
  <c r="AN20" i="11"/>
  <c r="I23" i="2"/>
  <c r="J23" i="2" s="1"/>
  <c r="D20" i="6"/>
  <c r="J20" i="12" s="1"/>
  <c r="J20" i="7"/>
  <c r="F29" i="2"/>
  <c r="F20" i="2"/>
  <c r="I14" i="2"/>
  <c r="J14" i="2" s="1"/>
  <c r="AO12" i="11"/>
  <c r="L18" i="14"/>
  <c r="AN11" i="11"/>
  <c r="AM22" i="11"/>
  <c r="E17" i="6"/>
  <c r="K17" i="12" s="1"/>
  <c r="E10" i="6"/>
  <c r="AN13" i="11"/>
  <c r="C25" i="6"/>
  <c r="AO10" i="11"/>
  <c r="D17" i="2"/>
  <c r="B25" i="6"/>
  <c r="AO16" i="11"/>
  <c r="BI16" i="16"/>
  <c r="L16" i="14"/>
  <c r="AL13" i="11"/>
  <c r="C11" i="6"/>
  <c r="L11" i="14"/>
  <c r="BI18" i="16"/>
  <c r="AL18" i="11"/>
  <c r="H18" i="2"/>
  <c r="H13" i="2"/>
  <c r="H11" i="2"/>
  <c r="AN9" i="11"/>
  <c r="T10" i="21"/>
  <c r="BC33" i="21"/>
  <c r="BE14" i="19"/>
  <c r="AP31" i="19"/>
  <c r="Q31" i="19"/>
  <c r="X31" i="19"/>
  <c r="AN31" i="19"/>
  <c r="AM31" i="19"/>
  <c r="BI31" i="19"/>
  <c r="AY31" i="19"/>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J16" i="12" l="1"/>
  <c r="K9" i="12"/>
  <c r="V16" i="20"/>
  <c r="V23" i="20" s="1"/>
  <c r="AA12" i="21"/>
  <c r="T18" i="20"/>
  <c r="AA18" i="16"/>
  <c r="AA17" i="16"/>
  <c r="T18" i="11"/>
  <c r="T11" i="11"/>
  <c r="T13" i="11"/>
  <c r="R12" i="14"/>
  <c r="S19" i="14"/>
  <c r="V19" i="14" s="1"/>
  <c r="X12" i="16"/>
  <c r="L21" i="2"/>
  <c r="AZ28" i="11"/>
  <c r="V21" i="16"/>
  <c r="AA9" i="16"/>
  <c r="X21" i="17"/>
  <c r="T17" i="11"/>
  <c r="I9" i="12"/>
  <c r="T22" i="11"/>
  <c r="R22" i="14"/>
  <c r="S18" i="14"/>
  <c r="V18" i="14" s="1"/>
  <c r="BH30" i="16"/>
  <c r="AP14" i="20"/>
  <c r="V10" i="21"/>
  <c r="AO18" i="17"/>
  <c r="AO9" i="17"/>
  <c r="AO16" i="17"/>
  <c r="AM20" i="11"/>
  <c r="AO13" i="17"/>
  <c r="X14" i="17"/>
  <c r="AO10" i="17"/>
  <c r="AO30" i="17"/>
  <c r="BH26" i="16"/>
  <c r="AM17" i="11"/>
  <c r="AQ26" i="21"/>
  <c r="AO26" i="17"/>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X9" i="16"/>
  <c r="X31" i="16" s="1"/>
  <c r="L25" i="2"/>
  <c r="L19" i="2"/>
  <c r="L11" i="2"/>
  <c r="AZ22" i="11"/>
  <c r="AZ12" i="11"/>
  <c r="X17" i="20"/>
  <c r="X22" i="20"/>
  <c r="X18" i="17"/>
  <c r="AA16" i="16"/>
  <c r="X17" i="17"/>
  <c r="AA25" i="16"/>
  <c r="S11" i="14"/>
  <c r="V11" i="14" s="1"/>
  <c r="V13" i="16"/>
  <c r="T12" i="11"/>
  <c r="R11" i="14"/>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Q14" i="21" s="1"/>
  <c r="Q31" i="21" s="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Q13" i="11" s="1"/>
  <c r="BL25" i="11"/>
  <c r="Q25" i="11" s="1"/>
  <c r="BH18" i="11"/>
  <c r="BG19" i="11"/>
  <c r="BM16" i="11"/>
  <c r="AZ9" i="11"/>
  <c r="AO28" i="17"/>
  <c r="BL29" i="11"/>
  <c r="Q29" i="11" s="1"/>
  <c r="BJ25" i="11"/>
  <c r="T16" i="16"/>
  <c r="AZ16" i="11"/>
  <c r="AZ23" i="11" s="1"/>
  <c r="BW20" i="20"/>
  <c r="BU16" i="17"/>
  <c r="BV19" i="16"/>
  <c r="BW19" i="20"/>
  <c r="BV18" i="16"/>
  <c r="X20"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X12" i="17"/>
  <c r="L22" i="2"/>
  <c r="X22" i="16"/>
  <c r="S16" i="17"/>
  <c r="S17" i="17"/>
  <c r="L12" i="2"/>
  <c r="X19" i="16"/>
  <c r="X10" i="21"/>
  <c r="L20" i="2"/>
  <c r="U9" i="17"/>
  <c r="U31" i="17" s="1"/>
  <c r="V10" i="16"/>
  <c r="V9" i="16"/>
  <c r="X13" i="16"/>
  <c r="BH9" i="16"/>
  <c r="BF13" i="11"/>
  <c r="BH16" i="16"/>
  <c r="BF28" i="11"/>
  <c r="BG20" i="11"/>
  <c r="BK29" i="11"/>
  <c r="BK11" i="11"/>
  <c r="AP10" i="21"/>
  <c r="BH20" i="16"/>
  <c r="BH22" i="16"/>
  <c r="BJ20" i="11"/>
  <c r="AZ13" i="11"/>
  <c r="BH28" i="16"/>
  <c r="V29" i="11"/>
  <c r="V22" i="11"/>
  <c r="AZ21" i="11"/>
  <c r="BM20" i="11"/>
  <c r="BJ28" i="11"/>
  <c r="BU28" i="17"/>
  <c r="BU11" i="17"/>
  <c r="BW9" i="20"/>
  <c r="BU21" i="17"/>
  <c r="BW13" i="20"/>
  <c r="BV17" i="16"/>
  <c r="BV21" i="16"/>
  <c r="BW17" i="20"/>
  <c r="BU29" i="17"/>
  <c r="BV25" i="16"/>
  <c r="BV11" i="16"/>
  <c r="X21" i="16"/>
  <c r="BW11" i="20"/>
  <c r="BU9" i="17"/>
  <c r="S21" i="17"/>
  <c r="BU19" i="17"/>
  <c r="BW28" i="20"/>
  <c r="BW10" i="20"/>
  <c r="BW33" i="20" s="1"/>
  <c r="BU13" i="17"/>
  <c r="BV22" i="16"/>
  <c r="S11" i="17"/>
  <c r="BU17" i="17"/>
  <c r="BV20" i="16"/>
  <c r="S22" i="17"/>
  <c r="S25" i="17"/>
  <c r="BF20" i="11"/>
  <c r="AZ11" i="11"/>
  <c r="S16" i="16"/>
  <c r="P16" i="17"/>
  <c r="BL20" i="11"/>
  <c r="BF12" i="11"/>
  <c r="BL16" i="11"/>
  <c r="BH25" i="16"/>
  <c r="BH21" i="11"/>
  <c r="BK20" i="11"/>
  <c r="AZ25" i="11"/>
  <c r="AZ30" i="11" s="1"/>
  <c r="BJ10" i="11"/>
  <c r="BK17" i="11"/>
  <c r="BK23" i="11" s="1"/>
  <c r="Q16" i="17"/>
  <c r="BM18" i="11"/>
  <c r="BF16" i="11"/>
  <c r="BH17" i="11"/>
  <c r="BL22" i="11"/>
  <c r="AQ12" i="21"/>
  <c r="BI22" i="11"/>
  <c r="BH25" i="11"/>
  <c r="BK10" i="11"/>
  <c r="BI21" i="11"/>
  <c r="L10" i="2"/>
  <c r="L28" i="2"/>
  <c r="X21" i="20"/>
  <c r="L16" i="2"/>
  <c r="L17" i="2"/>
  <c r="L18" i="2"/>
  <c r="X16" i="16"/>
  <c r="X23" i="16" s="1"/>
  <c r="AA11" i="16"/>
  <c r="L9" i="2"/>
  <c r="V25" i="16"/>
  <c r="T28" i="11"/>
  <c r="T19" i="11"/>
  <c r="R28" i="14"/>
  <c r="R18" i="14"/>
  <c r="S28" i="14"/>
  <c r="V28" i="14" s="1"/>
  <c r="S21" i="14"/>
  <c r="V21" i="14" s="1"/>
  <c r="S10" i="14"/>
  <c r="V10" i="14" s="1"/>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F20" i="10"/>
  <c r="J20" i="10"/>
  <c r="L20" i="10" s="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Q21"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BV23" i="16"/>
  <c r="BV26" i="16" s="1"/>
  <c r="BV30" i="16" s="1"/>
  <c r="P21" i="11"/>
  <c r="P17" i="11"/>
  <c r="BH23" i="11"/>
  <c r="X26" i="16"/>
  <c r="BH14" i="11"/>
  <c r="BI23" i="11"/>
  <c r="BK14" i="11"/>
  <c r="BF23" i="11"/>
  <c r="P23" i="17"/>
  <c r="P31" i="17" s="1"/>
  <c r="Q20" i="11"/>
  <c r="BU33" i="17"/>
  <c r="AZ26" i="11"/>
  <c r="Q16" i="11"/>
  <c r="P18" i="11"/>
  <c r="Q9" i="11"/>
  <c r="P9" i="11"/>
  <c r="BL23" i="11"/>
  <c r="P16" i="11"/>
  <c r="P20" i="11"/>
  <c r="R31" i="20"/>
  <c r="S23" i="16"/>
  <c r="S31" i="16" s="1"/>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R32" i="21"/>
  <c r="K32" i="12"/>
  <c r="M32" i="16"/>
  <c r="Y32" i="16"/>
  <c r="T32" i="11"/>
  <c r="AK32" i="21"/>
  <c r="K32" i="11"/>
  <c r="AX32" i="16"/>
  <c r="U32" i="16"/>
  <c r="AJ32" i="16"/>
  <c r="AU32" i="11"/>
  <c r="AM32" i="16"/>
  <c r="D32" i="12"/>
  <c r="AR32" i="11"/>
  <c r="AI32" i="17"/>
  <c r="AC32" i="21"/>
  <c r="F32" i="21"/>
  <c r="Z32" i="11"/>
  <c r="W32" i="17"/>
  <c r="AV32" i="16"/>
  <c r="W32" i="11"/>
  <c r="W32" i="16"/>
  <c r="AM32" i="21"/>
  <c r="U32" i="21"/>
  <c r="AD32" i="16"/>
  <c r="AT32" i="17"/>
  <c r="R32" i="17"/>
  <c r="BB32" i="16"/>
  <c r="K32" i="17"/>
  <c r="AQ32" i="16"/>
  <c r="J32" i="21"/>
  <c r="AD32" i="11"/>
  <c r="AR32" i="16"/>
  <c r="BJ32" i="16"/>
  <c r="AN32" i="11"/>
  <c r="Y32" i="21"/>
  <c r="BQ32" i="16"/>
  <c r="AT32" i="11"/>
  <c r="R32" i="11"/>
  <c r="H32" i="21"/>
  <c r="N32" i="11"/>
  <c r="BA32" i="16"/>
  <c r="R32" i="21"/>
  <c r="AO32" i="16"/>
  <c r="J32" i="12"/>
  <c r="S32" i="17"/>
  <c r="AA32" i="16"/>
  <c r="AJ32" i="11"/>
  <c r="AJ32" i="17"/>
  <c r="AI32" i="11"/>
  <c r="V32" i="21"/>
  <c r="BG32" i="16"/>
  <c r="P32" i="16"/>
  <c r="AI32" i="21"/>
  <c r="T32" i="17"/>
  <c r="AZ32" i="11"/>
  <c r="G32" i="12"/>
  <c r="AJ32" i="21"/>
  <c r="AC32" i="16"/>
  <c r="AA32" i="21"/>
  <c r="AE32" i="16"/>
  <c r="AH32" i="16"/>
  <c r="E32" i="17"/>
  <c r="S32" i="11"/>
  <c r="BE32" i="21"/>
  <c r="BC32" i="16"/>
  <c r="AU32" i="21"/>
  <c r="AG32" i="17"/>
  <c r="AC32" i="17"/>
  <c r="AF32" i="16"/>
  <c r="BK32" i="16"/>
  <c r="P32" i="17"/>
  <c r="P32" i="21"/>
  <c r="AS32" i="11"/>
  <c r="AP32" i="17"/>
  <c r="AV32" i="11"/>
  <c r="AG32" i="16"/>
  <c r="BH32" i="16"/>
  <c r="M32" i="11"/>
  <c r="F32" i="17"/>
  <c r="AW32" i="16"/>
  <c r="O32" i="16"/>
  <c r="AL32" i="16"/>
  <c r="BD32" i="16"/>
  <c r="J32" i="11"/>
  <c r="K32" i="16"/>
  <c r="AG32" i="21"/>
  <c r="BO32" i="16"/>
  <c r="AY32" i="11"/>
  <c r="N32" i="16"/>
  <c r="R32" i="16"/>
  <c r="AM32" i="11"/>
  <c r="Q32" i="17"/>
  <c r="J32" i="16"/>
  <c r="AN32" i="16"/>
  <c r="AE32" i="17"/>
  <c r="F32" i="16"/>
  <c r="AK32" i="11"/>
  <c r="E32" i="12"/>
  <c r="I32" i="17"/>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<sst xmlns="http://schemas.openxmlformats.org/spreadsheetml/2006/main" count="2668" uniqueCount="1192">
  <si>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</si>
  <si>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</si>
  <si>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</si>
  <si>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</si>
  <si>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</si>
  <si>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</si>
  <si>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</si>
  <si>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</si>
  <si>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</si>
  <si>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</si>
  <si>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</si>
  <si>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</si>
  <si>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</si>
  <si>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</si>
  <si>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</si>
  <si>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</si>
  <si>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</si>
  <si>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</si>
  <si>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</si>
  <si>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</si>
  <si>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</si>
  <si>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</si>
  <si>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</si>
  <si>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</si>
  <si>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</si>
  <si>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</si>
  <si>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</si>
  <si>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</si>
  <si>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</si>
  <si>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</si>
  <si>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</si>
  <si>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</si>
  <si>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</si>
  <si>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</si>
  <si>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</si>
  <si>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</si>
  <si>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</si>
  <si>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</si>
  <si>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</si>
  <si>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</si>
  <si>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</si>
  <si>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</si>
  <si>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</si>
  <si>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</si>
  <si>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</si>
  <si>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</si>
  <si>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</si>
  <si>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</si>
  <si>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</si>
  <si>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</si>
  <si>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</si>
  <si>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</si>
  <si>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</si>
  <si>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</si>
  <si>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</si>
  <si>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</si>
  <si>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</si>
  <si>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</si>
  <si>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</si>
  <si>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</si>
  <si>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</si>
  <si>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</si>
  <si>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</si>
  <si>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</si>
  <si>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</si>
  <si>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</si>
  <si>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</si>
  <si>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</si>
  <si>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</si>
  <si>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</si>
  <si>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</si>
  <si>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</si>
  <si>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</si>
  <si>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</si>
  <si>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</si>
  <si>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</si>
  <si>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</si>
  <si>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</si>
  <si>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</si>
  <si>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</si>
  <si>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</si>
  <si>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</si>
  <si>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</si>
  <si>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</si>
  <si>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</si>
  <si>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</si>
  <si>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</si>
  <si>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</si>
  <si>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</si>
  <si>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</si>
  <si>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</si>
  <si>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</si>
  <si>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</si>
  <si>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</si>
  <si>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</si>
  <si>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</si>
  <si>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</si>
  <si>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</si>
  <si>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</si>
  <si>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</si>
  <si>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</si>
  <si>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</si>
  <si>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</si>
  <si>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</si>
  <si>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</si>
  <si>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</si>
  <si>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</si>
  <si>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</si>
  <si>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</si>
  <si>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</si>
  <si>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</si>
  <si>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</si>
  <si>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</si>
  <si>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</si>
  <si>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</si>
  <si>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</si>
  <si>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</si>
  <si>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</si>
  <si>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</si>
  <si>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</si>
  <si>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</si>
  <si>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</si>
  <si>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</si>
  <si>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</si>
  <si>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</si>
  <si>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</si>
  <si>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</si>
  <si>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</si>
  <si>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</si>
  <si>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</si>
  <si>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</si>
  <si>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</si>
  <si>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</si>
  <si>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</si>
  <si>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</si>
  <si>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</si>
  <si>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</si>
  <si>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</si>
  <si>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</si>
  <si>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</si>
  <si>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</si>
  <si>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</si>
  <si>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</si>
  <si>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</si>
  <si>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</si>
  <si>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</si>
  <si>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</si>
  <si>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</si>
  <si>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</si>
  <si>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</si>
  <si>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</si>
  <si>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</si>
  <si>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</si>
  <si>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</si>
  <si>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</si>
  <si>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</si>
  <si>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</si>
  <si>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</si>
  <si>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</si>
  <si>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</si>
  <si>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</si>
  <si>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</si>
  <si>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</si>
  <si>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</si>
  <si>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</si>
  <si>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</si>
  <si>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</si>
  <si>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</si>
  <si>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</si>
  <si>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</si>
  <si>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</si>
  <si>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</si>
  <si>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</si>
  <si>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</si>
  <si>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</si>
  <si>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</si>
  <si>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</si>
  <si>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</si>
  <si>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</si>
  <si>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</si>
  <si>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</si>
  <si>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</si>
  <si>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</si>
  <si>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</si>
  <si>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</si>
  <si>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</si>
  <si>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</si>
  <si>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</si>
  <si>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</si>
  <si>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</si>
  <si>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</si>
  <si>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</si>
  <si>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</si>
  <si>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</si>
  <si>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</si>
  <si>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</si>
  <si>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</si>
  <si>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</si>
  <si>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</si>
  <si>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</si>
  <si>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</si>
  <si>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</si>
  <si>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</si>
  <si>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</si>
  <si>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</si>
  <si>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</si>
  <si>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</si>
  <si>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</si>
  <si>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</si>
  <si>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</si>
  <si>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</si>
  <si>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</si>
  <si>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</si>
  <si>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</si>
  <si>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</si>
  <si>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</si>
  <si>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</si>
  <si>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</si>
  <si>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</si>
  <si>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</si>
  <si>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</si>
  <si>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</si>
  <si>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</si>
  <si>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</si>
  <si>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</si>
  <si>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</si>
  <si>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</si>
  <si>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</si>
  <si>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</si>
  <si>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</si>
  <si>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</si>
  <si>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</si>
  <si>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</si>
  <si>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</si>
  <si>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</si>
  <si>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</si>
  <si>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</si>
  <si>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</si>
  <si>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</si>
  <si>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</si>
  <si>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</si>
  <si>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</si>
  <si>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</si>
  <si>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</si>
  <si>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</si>
  <si>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</si>
  <si>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</si>
  <si>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</si>
  <si>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</si>
  <si>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</si>
  <si>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</si>
  <si>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</si>
  <si>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</si>
  <si>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</si>
  <si>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</si>
  <si>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</si>
  <si>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</si>
  <si>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</si>
  <si>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</si>
  <si>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</si>
  <si>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</si>
  <si>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</si>
  <si>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</si>
  <si>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</si>
  <si>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</si>
  <si>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</si>
  <si>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</si>
  <si>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</si>
  <si>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</si>
  <si>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</si>
  <si>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</si>
  <si>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</si>
  <si>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</si>
  <si>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</si>
  <si>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</si>
  <si>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</si>
  <si>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</si>
  <si>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</si>
  <si>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</si>
  <si>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</si>
  <si>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</si>
  <si>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</si>
  <si>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</si>
  <si>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</si>
  <si>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</si>
  <si>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</si>
  <si>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</si>
  <si>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</si>
  <si>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</si>
  <si>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</si>
  <si>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</si>
  <si>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</si>
  <si>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</si>
  <si>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</si>
  <si>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</si>
  <si>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</si>
  <si>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</si>
  <si>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</si>
  <si>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</si>
  <si>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</si>
  <si>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</si>
  <si>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</si>
  <si>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</si>
  <si>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</si>
  <si>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</si>
  <si>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</si>
  <si>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</si>
  <si>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</si>
  <si>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</si>
  <si>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</si>
  <si>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</si>
  <si>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</si>
  <si>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</si>
  <si>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</si>
  <si>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</si>
  <si>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</si>
  <si>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</si>
  <si>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</si>
  <si>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</si>
  <si>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</si>
  <si>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</si>
  <si>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</si>
  <si>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</si>
  <si>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</si>
  <si>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</si>
  <si>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</si>
  <si>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</si>
  <si>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</si>
  <si>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</si>
  <si>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</si>
  <si>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</si>
  <si>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</si>
  <si>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</si>
  <si>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</si>
  <si>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</si>
  <si>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</si>
  <si>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</si>
  <si>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</si>
  <si>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</si>
  <si>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</si>
  <si>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</si>
  <si>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</si>
  <si>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</si>
  <si>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</si>
  <si>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</si>
  <si>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</si>
  <si>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</si>
  <si>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</si>
  <si>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</si>
  <si>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</si>
  <si>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</si>
  <si>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</si>
  <si>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</si>
  <si>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</si>
  <si>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</si>
  <si>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</si>
  <si>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</si>
  <si>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</si>
  <si>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</si>
  <si>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</si>
  <si>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</si>
  <si>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</si>
  <si>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</si>
  <si>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</si>
  <si>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</si>
  <si>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</si>
  <si>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</si>
  <si>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</si>
  <si>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</si>
  <si>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</si>
  <si>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</si>
  <si>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</si>
  <si>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</si>
  <si>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</si>
  <si>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</si>
  <si>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</si>
  <si>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</si>
  <si>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</si>
  <si>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</si>
  <si>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</si>
  <si>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</si>
  <si>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</si>
  <si>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</si>
  <si>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</si>
  <si>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</si>
  <si>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</si>
  <si>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</si>
  <si>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</si>
  <si>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</si>
  <si>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</si>
  <si>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</si>
  <si>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</si>
  <si>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</si>
  <si>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</si>
  <si>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</si>
  <si>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</si>
  <si>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</si>
  <si>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</si>
  <si>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</si>
  <si>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</si>
  <si>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</si>
  <si>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</si>
  <si>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</si>
  <si>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</si>
  <si>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</si>
  <si>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</si>
  <si>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</si>
  <si>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</si>
  <si>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</si>
  <si>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</si>
  <si>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</si>
  <si>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</si>
  <si>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</si>
  <si>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</si>
  <si>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</si>
  <si>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</si>
  <si>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</si>
  <si>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</si>
  <si>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</si>
  <si>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</si>
  <si>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</si>
  <si>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</si>
  <si>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</si>
  <si>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</si>
  <si>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</si>
  <si>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</si>
  <si>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</si>
  <si>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</si>
  <si>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</si>
  <si>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</si>
  <si>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</si>
  <si>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</si>
  <si>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</si>
  <si>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</si>
  <si>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</si>
  <si>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</si>
  <si>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</si>
  <si>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</si>
  <si>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</si>
  <si>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</si>
  <si>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</si>
  <si>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</si>
  <si>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</si>
  <si>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</si>
  <si>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</si>
  <si>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</si>
  <si>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</si>
  <si>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</si>
  <si>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</si>
  <si>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</si>
  <si>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</si>
  <si>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</si>
  <si>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</si>
  <si>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</si>
  <si>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</si>
  <si>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</si>
  <si>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</si>
  <si>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</si>
  <si>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</si>
  <si>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</si>
  <si>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</si>
  <si>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</si>
  <si>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</si>
  <si>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</si>
  <si>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</si>
  <si>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</si>
  <si>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</si>
  <si>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</si>
  <si>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</si>
  <si>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</si>
  <si>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</si>
  <si>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</si>
  <si>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</si>
  <si>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</si>
  <si>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</si>
  <si>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</si>
  <si>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</si>
  <si>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</si>
  <si>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</si>
  <si>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</si>
  <si>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</si>
  <si>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</si>
  <si>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</si>
  <si>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</si>
  <si>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</si>
  <si>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</si>
  <si>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</si>
  <si>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</si>
  <si>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</si>
  <si>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</si>
  <si>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</si>
  <si>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</si>
  <si>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</si>
  <si>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</si>
  <si>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</si>
  <si>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</si>
  <si>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</si>
  <si>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</si>
  <si>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</si>
  <si>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</si>
  <si>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</si>
  <si>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</si>
  <si>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</si>
  <si>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</si>
  <si>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</si>
  <si>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</si>
  <si>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</si>
  <si>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</si>
  <si>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</si>
  <si>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</si>
  <si>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</si>
  <si>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</si>
  <si>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</si>
  <si>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</si>
  <si>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</si>
  <si>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</si>
  <si>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</si>
  <si>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</si>
  <si>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</si>
  <si>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</si>
  <si>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</si>
  <si>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</si>
  <si>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</si>
  <si>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</si>
  <si>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</si>
  <si>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</si>
  <si>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</si>
  <si>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</si>
  <si>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</si>
  <si>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</si>
  <si>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</si>
  <si>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</si>
  <si>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</si>
  <si>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</si>
  <si>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</si>
  <si>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</si>
  <si>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</si>
  <si>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</si>
  <si>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</si>
  <si>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</si>
  <si>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</si>
  <si>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</si>
  <si>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</si>
  <si>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</si>
  <si>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</si>
  <si>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</si>
  <si>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</si>
  <si>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</si>
  <si>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</si>
  <si>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</si>
  <si>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</si>
  <si>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</si>
  <si>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</si>
  <si>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</si>
  <si>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</si>
  <si>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</si>
  <si>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</si>
  <si>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</si>
  <si>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</si>
  <si>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</si>
  <si>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</si>
  <si>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</si>
  <si>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</si>
  <si>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</si>
  <si>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</si>
  <si>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</si>
  <si>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</si>
  <si>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</si>
  <si>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</si>
  <si>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</si>
  <si>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</si>
  <si>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</si>
  <si>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</si>
  <si>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</si>
  <si>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</si>
  <si>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</si>
  <si>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</si>
  <si>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</si>
  <si>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</si>
  <si>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</si>
  <si>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</si>
  <si>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</si>
  <si>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</si>
  <si>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</si>
  <si>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</si>
  <si>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</si>
  <si>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</si>
  <si>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</si>
  <si>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</si>
  <si>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</si>
  <si>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</si>
  <si>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</si>
  <si>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</si>
  <si>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</si>
  <si>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</si>
  <si>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</si>
  <si>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</si>
  <si>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</si>
  <si>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</si>
  <si>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</si>
  <si>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</si>
  <si>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</si>
  <si>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</si>
  <si>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</si>
  <si>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</si>
  <si>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</si>
  <si>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</si>
  <si>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</si>
  <si>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</si>
  <si>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</si>
  <si>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</si>
  <si>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</si>
  <si>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</si>
  <si>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</si>
  <si>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</si>
  <si>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</si>
  <si>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</si>
  <si>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</si>
  <si>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</si>
  <si>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</si>
  <si>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</si>
  <si>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</si>
  <si>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</si>
  <si>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</si>
  <si>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</si>
  <si>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</si>
  <si>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</si>
  <si>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</si>
  <si>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</si>
  <si>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</si>
  <si>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</si>
  <si>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</si>
  <si>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</si>
  <si>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</si>
  <si>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</si>
  <si>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</si>
  <si>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</si>
  <si>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</si>
  <si>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</si>
  <si>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</si>
  <si>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</si>
  <si>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</si>
  <si>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</si>
  <si>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</si>
  <si>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</si>
  <si>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</si>
  <si>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</si>
  <si>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</si>
  <si>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</si>
  <si>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</si>
  <si>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</si>
  <si>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</si>
  <si>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</si>
  <si>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</si>
  <si>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</si>
  <si>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</si>
  <si>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</si>
  <si>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</si>
  <si>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</si>
  <si>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</si>
  <si>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</si>
  <si>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</si>
  <si>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</si>
  <si>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</si>
  <si>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</si>
  <si>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</si>
  <si>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</si>
  <si>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</si>
  <si>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</si>
  <si>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</si>
  <si>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</si>
  <si>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</si>
  <si>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</si>
  <si>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</si>
  <si>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</si>
  <si>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</si>
  <si>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</si>
  <si>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</si>
  <si>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</si>
  <si>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</si>
  <si>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</si>
  <si>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</si>
  <si>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</si>
  <si>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</si>
  <si>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</si>
  <si>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</si>
  <si>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</si>
  <si>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</si>
  <si>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</si>
  <si>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</si>
  <si>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</si>
  <si>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</si>
  <si>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</si>
  <si>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</si>
  <si>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</si>
  <si>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</si>
  <si>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</si>
  <si>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</si>
  <si>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</si>
  <si>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</si>
  <si>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</si>
  <si>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</si>
  <si>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</si>
  <si>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</si>
  <si>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</si>
  <si>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</si>
  <si>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</si>
  <si>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</si>
  <si>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</si>
  <si>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</si>
  <si>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</si>
  <si>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</si>
  <si>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</si>
  <si>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</si>
  <si>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</si>
  <si>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</si>
  <si>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</si>
  <si>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</si>
  <si>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</si>
  <si>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</si>
  <si>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</si>
  <si>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</si>
  <si>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</si>
  <si>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</si>
  <si>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</si>
  <si>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</si>
  <si>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</si>
  <si>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</si>
  <si>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</si>
  <si>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</si>
  <si>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</si>
  <si>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</si>
  <si>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</si>
  <si>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</si>
  <si>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</si>
  <si>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</si>
  <si>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</si>
  <si>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</si>
  <si>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</si>
  <si>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</si>
  <si>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</si>
  <si>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</si>
  <si>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</si>
  <si>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</si>
  <si>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</si>
  <si>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</si>
  <si>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</si>
  <si>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</si>
  <si>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</si>
  <si>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</si>
  <si>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</si>
  <si>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</si>
  <si>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</si>
  <si>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</si>
  <si>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</si>
  <si>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</si>
  <si>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</si>
  <si>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</si>
  <si>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</si>
  <si>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</si>
  <si>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</si>
  <si>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</si>
  <si>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</si>
  <si>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</si>
  <si>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</si>
  <si>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</si>
  <si>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</si>
  <si>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</si>
  <si>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</si>
  <si>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</si>
  <si>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</si>
  <si>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</si>
  <si>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</si>
  <si>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</si>
  <si>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</si>
  <si>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</si>
  <si>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</si>
  <si>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</si>
  <si>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</si>
  <si>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</si>
  <si>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</si>
  <si>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</si>
  <si>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</si>
  <si>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</si>
  <si>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</si>
  <si>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</si>
  <si>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</si>
  <si>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</si>
  <si>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</si>
  <si>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</si>
  <si>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</si>
  <si>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</si>
  <si>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</si>
  <si>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</si>
  <si>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</si>
  <si>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</si>
  <si>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</si>
  <si>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</si>
  <si>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</si>
  <si>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</si>
  <si>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</si>
  <si>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</si>
  <si>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</si>
  <si>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</si>
  <si>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</si>
  <si>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</si>
  <si>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</si>
  <si>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</si>
  <si>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</si>
  <si>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</si>
  <si>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</si>
  <si>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</si>
  <si>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</si>
  <si>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</si>
  <si>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</si>
  <si>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</si>
  <si>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</si>
  <si>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</si>
  <si>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</si>
  <si>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</si>
  <si>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</si>
  <si>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</si>
  <si>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</si>
  <si>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</si>
  <si>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</si>
  <si>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</si>
  <si>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</si>
  <si>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</si>
  <si>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</si>
  <si>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</si>
  <si>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</si>
  <si>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</si>
  <si>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</si>
  <si>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</si>
  <si>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</si>
  <si>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</si>
  <si>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</si>
  <si>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</si>
  <si>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</si>
  <si>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</si>
  <si>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</si>
  <si>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</si>
  <si>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</si>
  <si>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</si>
  <si>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</si>
  <si>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</si>
  <si>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</si>
  <si>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</si>
  <si>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</si>
  <si>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</si>
  <si>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</si>
  <si>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</si>
  <si>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</si>
  <si>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</si>
  <si>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</si>
  <si>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</si>
  <si>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</si>
  <si>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</si>
  <si>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</si>
  <si>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</si>
  <si>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</si>
  <si>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</si>
  <si>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</si>
  <si>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</si>
  <si>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</si>
  <si>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</si>
  <si>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</si>
  <si>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</si>
  <si>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</si>
  <si>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</si>
  <si>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</si>
  <si>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</si>
  <si>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</si>
  <si>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</si>
  <si>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</si>
  <si>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</si>
  <si>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</si>
  <si>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</si>
  <si>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</si>
  <si>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</si>
  <si>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</si>
  <si>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</si>
  <si>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</si>
  <si>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</si>
  <si>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</si>
  <si>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</si>
  <si>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</si>
  <si>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</si>
  <si>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</si>
  <si>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</si>
  <si>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</si>
  <si>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</si>
  <si>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</si>
  <si>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</si>
  <si>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</si>
  <si>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</si>
  <si>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</si>
  <si>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</si>
  <si>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</si>
  <si>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</si>
  <si>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</si>
  <si>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</si>
  <si>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</si>
  <si>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</si>
  <si>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</si>
  <si>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</si>
  <si>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</si>
  <si>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</si>
  <si>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</si>
  <si>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</si>
  <si>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</si>
  <si>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</si>
  <si>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</si>
  <si>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</si>
  <si>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</si>
  <si>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</si>
  <si>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</si>
  <si>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</si>
  <si>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</si>
  <si>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</si>
  <si>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</si>
  <si>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</si>
  <si>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</si>
  <si>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</si>
  <si>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</si>
  <si>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</si>
  <si>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</si>
  <si>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</si>
  <si>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</si>
  <si>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</si>
  <si>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</si>
  <si>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</si>
  <si>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</si>
  <si>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</si>
  <si>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</si>
  <si>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</si>
  <si>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</si>
  <si>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</si>
  <si>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</si>
  <si>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</si>
  <si>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</si>
  <si>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</si>
  <si>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</si>
  <si>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</si>
  <si>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</si>
  <si>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</si>
  <si>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</si>
  <si>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</si>
  <si>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</si>
  <si>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</si>
  <si>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</si>
  <si>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</si>
  <si>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</si>
  <si>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</si>
  <si>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</si>
  <si>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</si>
  <si>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</si>
  <si>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</si>
  <si>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</si>
  <si>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</si>
  <si>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</si>
  <si>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</si>
  <si>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</si>
  <si>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</si>
  <si>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</si>
  <si>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</si>
  <si>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</si>
  <si>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</si>
  <si>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</si>
  <si>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</si>
  <si>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</si>
  <si>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</si>
  <si>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</si>
  <si>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</si>
  <si>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</si>
  <si>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</si>
  <si>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</si>
  <si>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</si>
  <si>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</si>
  <si>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</si>
  <si>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</si>
  <si>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</si>
  <si>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</si>
  <si>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</si>
  <si>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</si>
  <si>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</si>
  <si>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</si>
  <si>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</si>
  <si>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</si>
  <si>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</si>
  <si>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</si>
  <si>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</si>
  <si>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</si>
  <si>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</si>
  <si>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</si>
  <si>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</si>
  <si>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</si>
  <si>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</si>
  <si>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</si>
  <si>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</si>
  <si>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</si>
  <si>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</si>
  <si>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</si>
  <si>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</si>
  <si>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</si>
  <si>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</si>
  <si>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</si>
  <si>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</si>
  <si>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</si>
  <si>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</si>
  <si>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</si>
  <si>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</si>
  <si>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</si>
  <si>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</si>
  <si>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</si>
  <si>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</si>
  <si>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</si>
  <si>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</si>
  <si>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</si>
  <si>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</si>
  <si>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</si>
  <si>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</si>
  <si>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</si>
  <si>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</si>
  <si>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</si>
  <si>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</si>
  <si>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</si>
  <si>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</si>
  <si>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</si>
  <si>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</si>
  <si>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</si>
  <si>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</si>
  <si>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</si>
  <si>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</si>
  <si>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</si>
  <si>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</si>
  <si>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</si>
  <si>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</si>
  <si>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</si>
  <si>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</si>
  <si>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</si>
  <si>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</si>
  <si>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</si>
  <si>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</si>
  <si>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</si>
  <si>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</si>
  <si>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</si>
  <si>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</si>
  <si>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</si>
  <si>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</si>
  <si>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</si>
  <si>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</si>
  <si>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</si>
  <si>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</si>
  <si>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</si>
  <si>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</si>
  <si>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</si>
  <si>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</si>
  <si>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</si>
  <si>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</si>
  <si>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</si>
  <si>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</si>
  <si>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</si>
  <si>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</si>
  <si>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</si>
  <si>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</si>
  <si>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</si>
  <si>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</si>
  <si>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</si>
  <si>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</si>
  <si>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</si>
  <si>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</si>
  <si>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</si>
  <si>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</si>
  <si>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</si>
  <si>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</si>
  <si>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</si>
  <si>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</si>
  <si>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</si>
  <si>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</si>
  <si>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</si>
  <si>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</si>
  <si>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</si>
  <si>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</si>
  <si>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</si>
  <si>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</si>
  <si>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</si>
  <si>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</si>
  <si>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</si>
  <si>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</si>
  <si>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</si>
  <si>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</si>
  <si>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</si>
  <si>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</si>
  <si>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</si>
  <si>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</si>
  <si>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</si>
  <si>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</si>
  <si>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</si>
  <si>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</si>
  <si>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</si>
  <si>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</si>
  <si>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</si>
  <si>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</si>
  <si>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</si>
  <si>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</si>
  <si>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</si>
  <si>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</si>
  <si>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</si>
  <si>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</si>
  <si>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</si>
  <si>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</si>
  <si>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</si>
  <si>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</si>
  <si>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</si>
  <si>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</si>
  <si>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</si>
  <si>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</si>
  <si>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</si>
  <si>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</si>
  <si>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</si>
  <si>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</si>
  <si>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</si>
  <si>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</si>
  <si>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</si>
  <si>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</si>
  <si>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</si>
  <si>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</si>
  <si>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</si>
  <si>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</si>
  <si>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</si>
  <si>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</si>
  <si>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</si>
  <si>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</si>
  <si>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</si>
  <si>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</si>
  <si>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</si>
  <si>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</si>
  <si>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</si>
  <si>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</si>
  <si>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</si>
  <si>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</si>
  <si>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</si>
  <si>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</si>
  <si>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</si>
  <si>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</si>
  <si>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</si>
  <si>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</si>
  <si>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</si>
  <si>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</si>
  <si>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</si>
  <si>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</si>
  <si>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</si>
  <si>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</si>
  <si>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</si>
  <si>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</si>
  <si>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</si>
  <si>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</si>
  <si>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</si>
  <si>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</si>
  <si>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</si>
  <si>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</si>
  <si>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</si>
  <si>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</si>
  <si>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</si>
  <si>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</si>
  <si>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</si>
  <si>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</si>
  <si>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</si>
  <si>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</si>
  <si>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</si>
  <si>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</si>
  <si>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</si>
  <si>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</si>
  <si>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</si>
  <si>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</si>
  <si>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</si>
  <si>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</si>
  <si>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</si>
  <si>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</si>
  <si>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</si>
  <si>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</si>
  <si>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</si>
  <si>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</si>
  <si>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</si>
  <si>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</si>
  <si>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</si>
  <si>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</si>
  <si>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REGION DE MURCIA</t>
  </si>
  <si>
    <t>Provincias</t>
  </si>
  <si>
    <t>MURCIA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</si>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</sst>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mY6/3o+T/qhqu/Msmr0KIJJcA3NyFJsW0V9U45sV/yKAqVUU3pxUmC4NuY9XGFPV+Tuvl5Oz61lnaKTfkwL3w==" saltValue="Cb0pJW6bNVewj+8HL8pit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REGION DE MURCIA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14</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46.823926812104155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2</v>
      </c>
      <c r="B10" s="1461" t="str">
        <f>Datos!A10</f>
        <v>Jdos. Violencia contra la mujer</v>
      </c>
      <c r="C10" s="239">
        <f t="shared" si="0"/>
        <v>314</v>
      </c>
      <c r="D10" s="239">
        <f>IF(ISNUMBER(Datos!I10),Datos!I10," - ")</f>
        <v>314</v>
      </c>
      <c r="E10" s="240">
        <f>IF(ISNUMBER(Datos!J10),Datos!J10," - ")</f>
        <v>177</v>
      </c>
      <c r="F10" s="240">
        <f>IF(ISNUMBER(Datos!K10),Datos!K10," - ")</f>
        <v>183</v>
      </c>
      <c r="G10" s="1390" t="str">
        <f>IF(Datos!E10&lt;&gt;"",Datos!E10,Datos!D10)</f>
        <v>37</v>
      </c>
      <c r="H10" s="241">
        <f>IF(ISNUMBER(Datos!L10),Datos!L10," - ")</f>
        <v>308</v>
      </c>
      <c r="I10" s="1400" t="str">
        <f>IF(ISNUMBER(Datos!AS10/Datos!BM10),Datos!AS10/Datos!BM10," - ")</f>
        <v xml:space="preserve"> - </v>
      </c>
      <c r="J10" s="1401">
        <f>IF(ISNUMBER(Datos!BY10/Datos!CN10),Datos!BY10/Datos!CN10," - ")</f>
        <v>0</v>
      </c>
      <c r="K10" s="244">
        <f t="shared" ref="K10:K13" si="1">IF(ISNUMBER((E10-F10)/C10),(E10-F10)/C10," - ")</f>
        <v>-1.9108280254777069E-2</v>
      </c>
      <c r="L10" s="1402">
        <f>IF(ISNUMBER(NºAsuntos!I10/NºAsuntos!G10),(NºAsuntos!I10/NºAsuntos!G10)*11," - ")</f>
        <v>18.513661202185794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4</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25.696284329563813</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314</v>
      </c>
      <c r="D14" s="1407">
        <f>SUBTOTAL(9,D9:D13)</f>
        <v>314</v>
      </c>
      <c r="E14" s="1408">
        <f>SUBTOTAL(9,E9:E13)</f>
        <v>177</v>
      </c>
      <c r="F14" s="1409">
        <f>SUBTOTAL(9,F9:F13)</f>
        <v>183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9</v>
      </c>
      <c r="B16" s="1461" t="str">
        <f>Datos!A16</f>
        <v xml:space="preserve">Jdos. Instrucción                               </v>
      </c>
      <c r="C16" s="239">
        <f t="shared" ref="C16:C22" si="2">IF(ISNUMBER(H16-E16+F16),H16-E16+F16," - ")</f>
        <v>6109</v>
      </c>
      <c r="D16" s="239">
        <f>IF(ISNUMBER(IF(D_I="SI",Datos!I16,Datos!I16+Datos!AC16)),IF(D_I="SI",Datos!I16,Datos!I16+Datos!AC16)," - ")</f>
        <v>5839</v>
      </c>
      <c r="E16" s="240">
        <f>IF(ISNUMBER(IF(D_I="SI",Datos!J16,Datos!J16+Datos!AD16)),IF(D_I="SI",Datos!J16,Datos!J16+Datos!AD16)," - ")</f>
        <v>9942</v>
      </c>
      <c r="F16" s="240">
        <f>IF(ISNUMBER(IF(D_I="SI",Datos!K16,Datos!K16+Datos!AE16)),IF(D_I="SI",Datos!K16,Datos!K16+Datos!AE16)," - ")</f>
        <v>9895</v>
      </c>
      <c r="G16" s="1390" t="str">
        <f>IF(Datos!E16&lt;&gt;"",Datos!E16,Datos!D16)</f>
        <v>03</v>
      </c>
      <c r="H16" s="241">
        <f>IF(ISNUMBER(IF(D_I="SI",Datos!L16,Datos!L16+Datos!AF16)),IF(D_I="SI",Datos!L16,Datos!L16+Datos!AF16)," - ")</f>
        <v>6156</v>
      </c>
      <c r="I16" s="1400" t="str">
        <f>IF(ISNUMBER(Datos!AS16/Datos!BM16),Datos!AS16/Datos!BM16," - ")</f>
        <v xml:space="preserve"> - </v>
      </c>
      <c r="J16" s="1401">
        <f>IF(ISNUMBER(Datos!BY16/Datos!CN16),Datos!BY16/Datos!CN16," - ")</f>
        <v>0</v>
      </c>
      <c r="K16" s="244">
        <f t="shared" ref="K16:K22" si="3">IF(ISNUMBER((E16-F16)/C16),(E16-F16)/C16," - ")</f>
        <v>7.6935668685545917E-3</v>
      </c>
      <c r="L16" s="1402">
        <f>IF(ISNUMBER(NºAsuntos!I16/NºAsuntos!G16),(NºAsuntos!I16/NºAsuntos!G16)*11," - ")</f>
        <v>6.8434562910560892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2</v>
      </c>
      <c r="B18" s="1461" t="str">
        <f>Datos!A18</f>
        <v>Jdos. Violencia contra la mujer</v>
      </c>
      <c r="C18" s="239">
        <f t="shared" si="2"/>
        <v>228</v>
      </c>
      <c r="D18" s="239">
        <f>IF(ISNUMBER(IF(D_I="SI",Datos!I18,Datos!I18+Datos!AC18)),IF(D_I="SI",Datos!I18,Datos!I18+Datos!AC18)," - ")</f>
        <v>227</v>
      </c>
      <c r="E18" s="240">
        <f>IF(ISNUMBER(IF(D_I="SI",Datos!J18,Datos!J18+Datos!AD18)),IF(D_I="SI",Datos!J18,Datos!J18+Datos!AD18)," - ")</f>
        <v>1061</v>
      </c>
      <c r="F18" s="240">
        <f>IF(ISNUMBER(IF(D_I="SI",Datos!K18,Datos!K18+Datos!AE18)),IF(D_I="SI",Datos!K18,Datos!K18+Datos!AE18)," - ")</f>
        <v>1041</v>
      </c>
      <c r="G18" s="1390" t="str">
        <f>IF(Datos!E18&lt;&gt;"",Datos!E18,Datos!D18)</f>
        <v>37</v>
      </c>
      <c r="H18" s="241">
        <f>IF(ISNUMBER(IF(D_I="SI",Datos!L18,Datos!L18+Datos!AF18)),IF(D_I="SI",Datos!L18,Datos!L18+Datos!AF18)," - ")</f>
        <v>248</v>
      </c>
      <c r="I18" s="1400" t="str">
        <f>IF(ISNUMBER(Datos!AS18/Datos!BM18),Datos!AS18/Datos!BM18," - ")</f>
        <v xml:space="preserve"> - </v>
      </c>
      <c r="J18" s="1401" t="str">
        <f>IF(ISNUMBER((Datos!BY18+Datos!BZ18)/Datos!CN18),(Datos!BY18+Datos!BZ18)/Datos!CN18," - ")</f>
        <v xml:space="preserve"> - </v>
      </c>
      <c r="K18" s="244">
        <f t="shared" si="3"/>
        <v>8.771929824561403E-2</v>
      </c>
      <c r="L18" s="1402">
        <f>IF(ISNUMBER(NºAsuntos!I18/NºAsuntos!G18),(NºAsuntos!I18/NºAsuntos!G18)*11," - ")</f>
        <v>2.6205571565802113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6337</v>
      </c>
      <c r="D23" s="1407">
        <f>SUBTOTAL(9,D16:D22)</f>
        <v>6066</v>
      </c>
      <c r="E23" s="1408">
        <f>SUBTOTAL(9,E16:E22)</f>
        <v>11003</v>
      </c>
      <c r="F23" s="1408">
        <f>SUBTOTAL(9,F16:F22)</f>
        <v>10936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6651</v>
      </c>
      <c r="D31" s="1435">
        <f>SUBTOTAL(9,D9:D30)</f>
        <v>6380</v>
      </c>
      <c r="E31" s="1436">
        <f>SUBTOTAL(9,E9:E30)</f>
        <v>11180</v>
      </c>
      <c r="F31" s="1436">
        <f>SUBTOTAL(9,F9:F30)</f>
        <v>11119</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Kh7F0nSwkloM6ieXGtN2vRAxG01RXswnZ8ZfZwZYYv9OKfLU5lkl0kuLg8AchEYxtMQASgp2EUNhfvob8717ng==" saltValue="dZ2LBs5Kfrhihoi7swpYY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3Wfuxtja7rqwOafg41M/ikn5bouoX0rZUQ96ppv3fHjVCjfRLK2ao1Z/5/tZ03lWZ4VKYVmuJl8Pa+Gz4km+Q==" saltValue="/fXsPxz1W5VmS3yWWEd5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28511</v>
      </c>
      <c r="J9" s="194">
        <v>7990</v>
      </c>
      <c r="K9" s="194">
        <v>6652</v>
      </c>
      <c r="L9" s="194">
        <v>29846</v>
      </c>
      <c r="M9" s="194">
        <v>1784</v>
      </c>
      <c r="N9" s="194">
        <v>3038</v>
      </c>
      <c r="O9" s="194">
        <v>3066</v>
      </c>
      <c r="P9" s="194">
        <v>1493</v>
      </c>
      <c r="Q9" s="194">
        <v>2978</v>
      </c>
      <c r="R9" s="194">
        <v>30011</v>
      </c>
      <c r="S9" s="194">
        <v>28522</v>
      </c>
      <c r="T9" s="194">
        <v>5813</v>
      </c>
      <c r="U9" s="194">
        <v>6789</v>
      </c>
      <c r="V9" s="194">
        <v>27553</v>
      </c>
      <c r="W9" s="194">
        <v>2176</v>
      </c>
      <c r="X9" s="201">
        <v>3026</v>
      </c>
      <c r="Y9" s="204">
        <v>374</v>
      </c>
      <c r="Z9" s="194">
        <v>477</v>
      </c>
      <c r="AA9" s="194">
        <v>453</v>
      </c>
      <c r="AB9" s="194">
        <v>398</v>
      </c>
      <c r="AC9" s="194">
        <v>0</v>
      </c>
      <c r="AD9" s="194">
        <v>0</v>
      </c>
      <c r="AE9" s="194">
        <v>0</v>
      </c>
      <c r="AF9" s="201">
        <v>0</v>
      </c>
      <c r="AG9" s="204">
        <v>593</v>
      </c>
      <c r="AH9" s="194">
        <v>349</v>
      </c>
      <c r="AI9" s="194">
        <v>499</v>
      </c>
      <c r="AJ9" s="205">
        <v>444</v>
      </c>
      <c r="AK9" s="193">
        <v>0</v>
      </c>
      <c r="AL9" s="194">
        <v>0</v>
      </c>
      <c r="AM9" s="194">
        <v>0</v>
      </c>
      <c r="AN9" s="201">
        <v>0</v>
      </c>
      <c r="AO9" s="282">
        <v>14</v>
      </c>
      <c r="AP9" s="167">
        <v>14</v>
      </c>
      <c r="AQ9" s="167">
        <v>14</v>
      </c>
      <c r="AR9" s="206">
        <v>14</v>
      </c>
      <c r="AS9" s="379" t="s">
        <v>1072</v>
      </c>
      <c r="AT9" s="208"/>
      <c r="AU9" s="207"/>
      <c r="AV9" s="208"/>
      <c r="AW9" s="207"/>
      <c r="AX9" s="208"/>
      <c r="AY9" s="133">
        <f>IF(ISNUMBER(IF(J_V="SI",S9,S9+AG9)),IF(J_V="SI",S9,S9+AG9)," - ")</f>
        <v>29115</v>
      </c>
      <c r="AZ9" s="133">
        <f>IF(ISNUMBER(IF(J_V="SI",T9,T9+AH9)),IF(J_V="SI",T9,T9+AH9)," - ")</f>
        <v>6162</v>
      </c>
      <c r="BA9" s="134">
        <f>IF(ISNUMBER(IF(J_V="SI",U9,U9+AI9)),IF(J_V="SI",U9,U9+AI9)," - ")</f>
        <v>7288</v>
      </c>
      <c r="BB9" s="134">
        <f>IF(ISNUMBER(IF(J_V="SI",V9,V9+AJ9)),IF(J_V="SI",V9,V9+AJ9)," - ")</f>
        <v>27997</v>
      </c>
      <c r="BC9" s="135">
        <f>IF(ISNUMBER(X9),X9," - ")</f>
        <v>3026</v>
      </c>
      <c r="BD9" s="136">
        <f>IF(ISNUMBER(BA9/AZ9),BA9/AZ9," - ")</f>
        <v>1.1827328789354106</v>
      </c>
      <c r="BE9" s="137">
        <f>IF(ISNUMBER(BB9/BA9),BB9/BA9, " - ")</f>
        <v>3.8415203073545556</v>
      </c>
      <c r="BF9" s="137">
        <f>IF(ISNUMBER(BC9/BA9),BC9/BA9, " - ")</f>
        <v>0.41520307354555436</v>
      </c>
      <c r="BG9" s="209">
        <f>IF(ISNUMBER((AY9+AZ9)/BA9),(AY9+AZ9)/BA9," - ")</f>
        <v>4.8404226125137209</v>
      </c>
      <c r="BH9" s="167">
        <v>14</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314</v>
      </c>
      <c r="J10" s="194">
        <v>177</v>
      </c>
      <c r="K10" s="194">
        <v>183</v>
      </c>
      <c r="L10" s="194">
        <v>308</v>
      </c>
      <c r="M10" s="194">
        <v>45</v>
      </c>
      <c r="N10" s="194">
        <v>115</v>
      </c>
      <c r="O10" s="194">
        <v>16</v>
      </c>
      <c r="P10" s="194">
        <v>10</v>
      </c>
      <c r="Q10" s="194">
        <v>22</v>
      </c>
      <c r="R10" s="194">
        <v>197</v>
      </c>
      <c r="S10" s="194">
        <v>219</v>
      </c>
      <c r="T10" s="194">
        <v>121</v>
      </c>
      <c r="U10" s="194">
        <v>83</v>
      </c>
      <c r="V10" s="194">
        <v>257</v>
      </c>
      <c r="W10" s="194">
        <v>21</v>
      </c>
      <c r="X10" s="201">
        <v>46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2</v>
      </c>
      <c r="AQ10" s="167">
        <v>2</v>
      </c>
      <c r="AR10" s="168">
        <v>2</v>
      </c>
      <c r="AS10" s="380" t="s">
        <v>1066</v>
      </c>
      <c r="AT10" s="205"/>
      <c r="AU10" s="213"/>
      <c r="AV10" s="205"/>
      <c r="AW10" s="213"/>
      <c r="AX10" s="205"/>
      <c r="AY10" s="138">
        <f t="shared" ref="AY10:BC10" si="0">IF(ISNUMBER(S10),S10," - ")</f>
        <v>219</v>
      </c>
      <c r="AZ10" s="139">
        <f t="shared" si="0"/>
        <v>121</v>
      </c>
      <c r="BA10" s="139">
        <f t="shared" si="0"/>
        <v>83</v>
      </c>
      <c r="BB10" s="139">
        <f t="shared" si="0"/>
        <v>257</v>
      </c>
      <c r="BC10" s="135">
        <f t="shared" si="0"/>
        <v>21</v>
      </c>
      <c r="BD10" s="136">
        <f>IF(ISNUMBER(BA10/AZ10),BA10/AZ10," - ")</f>
        <v>0.68595041322314054</v>
      </c>
      <c r="BE10" s="137">
        <f>IF(ISNUMBER(BB10/BA10),BB10/BA10, " - ")</f>
        <v>3.0963855421686746</v>
      </c>
      <c r="BF10" s="137">
        <f>IF(ISNUMBER(BC10/BA10),BC10/BA10, " - ")</f>
        <v>0.25301204819277107</v>
      </c>
      <c r="BG10" s="209">
        <f>IF(ISNUMBER((AY10+AZ10)/BA10),(AY10+AZ10)/BA10," - ")</f>
        <v>4.096385542168675</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2362</v>
      </c>
      <c r="J11" s="196">
        <v>932</v>
      </c>
      <c r="K11" s="196">
        <v>809</v>
      </c>
      <c r="L11" s="196">
        <v>2485</v>
      </c>
      <c r="M11" s="196">
        <v>370</v>
      </c>
      <c r="N11" s="196">
        <v>602</v>
      </c>
      <c r="O11" s="194">
        <v>411</v>
      </c>
      <c r="P11" s="196">
        <v>134</v>
      </c>
      <c r="Q11" s="196">
        <v>61</v>
      </c>
      <c r="R11" s="196">
        <v>1588</v>
      </c>
      <c r="S11" s="196">
        <v>2818</v>
      </c>
      <c r="T11" s="196">
        <v>719</v>
      </c>
      <c r="U11" s="196">
        <v>974</v>
      </c>
      <c r="V11" s="196">
        <v>2563</v>
      </c>
      <c r="W11" s="196">
        <v>500</v>
      </c>
      <c r="X11" s="202">
        <v>604</v>
      </c>
      <c r="Y11" s="204">
        <v>403</v>
      </c>
      <c r="Z11" s="194">
        <v>433</v>
      </c>
      <c r="AA11" s="194">
        <v>429</v>
      </c>
      <c r="AB11" s="194">
        <v>407</v>
      </c>
      <c r="AC11" s="196">
        <v>0</v>
      </c>
      <c r="AD11" s="196">
        <v>0</v>
      </c>
      <c r="AE11" s="196">
        <v>0</v>
      </c>
      <c r="AF11" s="202">
        <v>0</v>
      </c>
      <c r="AG11" s="215">
        <v>418</v>
      </c>
      <c r="AH11" s="196">
        <v>460</v>
      </c>
      <c r="AI11" s="196">
        <v>418</v>
      </c>
      <c r="AJ11" s="216">
        <v>460</v>
      </c>
      <c r="AK11" s="195">
        <v>0</v>
      </c>
      <c r="AL11" s="196">
        <v>0</v>
      </c>
      <c r="AM11" s="196">
        <v>0</v>
      </c>
      <c r="AN11" s="202">
        <v>0</v>
      </c>
      <c r="AO11" s="283">
        <v>4</v>
      </c>
      <c r="AP11" s="168">
        <v>4</v>
      </c>
      <c r="AQ11" s="168">
        <v>4</v>
      </c>
      <c r="AR11" s="167">
        <v>4</v>
      </c>
      <c r="AS11" s="381" t="s">
        <v>1074</v>
      </c>
      <c r="AT11" s="216"/>
      <c r="AU11" s="215"/>
      <c r="AV11" s="216"/>
      <c r="AW11" s="215"/>
      <c r="AX11" s="216"/>
      <c r="AY11" s="136">
        <f t="shared" ref="AY11:BB12" si="1">IF(ISNUMBER(IF(J_V="SI",S11,S11+AG11)),IF(J_V="SI",S11,S11+AG11)," - ")</f>
        <v>3236</v>
      </c>
      <c r="AZ11" s="137">
        <f t="shared" si="1"/>
        <v>1179</v>
      </c>
      <c r="BA11" s="137">
        <f t="shared" si="1"/>
        <v>1392</v>
      </c>
      <c r="BB11" s="137">
        <f t="shared" si="1"/>
        <v>3023</v>
      </c>
      <c r="BC11" s="135">
        <f>IF(ISNUMBER(X11),X11," - ")</f>
        <v>604</v>
      </c>
      <c r="BD11" s="136">
        <f t="shared" ref="BD11:BD13" si="2">IF(ISNUMBER(BA11/AZ11),BA11/AZ11," - ")</f>
        <v>1.1806615776081424</v>
      </c>
      <c r="BE11" s="137">
        <f t="shared" ref="BE11:BE13" si="3">IF(ISNUMBER(BB11/BA11),BB11/BA11, " - ")</f>
        <v>2.1716954022988504</v>
      </c>
      <c r="BF11" s="137">
        <f t="shared" ref="BF11:BF13" si="4">IF(ISNUMBER(BC11/BA11),BC11/BA11, " - ")</f>
        <v>0.43390804597701149</v>
      </c>
      <c r="BG11" s="209">
        <f t="shared" ref="BG11:BG13" si="5">IF(ISNUMBER((AY11+AZ11)/BA11),(AY11+AZ11)/BA11," - ")</f>
        <v>3.1716954022988504</v>
      </c>
      <c r="BH11" s="168">
        <v>3</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31187</v>
      </c>
      <c r="J14" s="197">
        <f t="shared" si="7"/>
        <v>9099</v>
      </c>
      <c r="K14" s="197">
        <f t="shared" si="7"/>
        <v>7644</v>
      </c>
      <c r="L14" s="197">
        <f t="shared" si="7"/>
        <v>32639</v>
      </c>
      <c r="M14" s="197">
        <f t="shared" si="7"/>
        <v>2199</v>
      </c>
      <c r="N14" s="197">
        <f t="shared" si="7"/>
        <v>3755</v>
      </c>
      <c r="O14" s="197">
        <f t="shared" si="7"/>
        <v>3493</v>
      </c>
      <c r="P14" s="197">
        <f t="shared" si="7"/>
        <v>1637</v>
      </c>
      <c r="Q14" s="197">
        <f t="shared" si="7"/>
        <v>3061</v>
      </c>
      <c r="R14" s="197">
        <f t="shared" si="7"/>
        <v>31796</v>
      </c>
      <c r="S14" s="197">
        <f t="shared" si="7"/>
        <v>31559</v>
      </c>
      <c r="T14" s="197">
        <f t="shared" si="7"/>
        <v>6653</v>
      </c>
      <c r="U14" s="197">
        <f t="shared" si="7"/>
        <v>7846</v>
      </c>
      <c r="V14" s="197">
        <f t="shared" si="7"/>
        <v>30373</v>
      </c>
      <c r="W14" s="197">
        <f t="shared" si="7"/>
        <v>2697</v>
      </c>
      <c r="X14" s="197">
        <f t="shared" si="7"/>
        <v>3676</v>
      </c>
      <c r="Y14" s="197">
        <f t="shared" si="7"/>
        <v>777</v>
      </c>
      <c r="Z14" s="197">
        <f t="shared" si="7"/>
        <v>910</v>
      </c>
      <c r="AA14" s="197">
        <f t="shared" si="7"/>
        <v>882</v>
      </c>
      <c r="AB14" s="197">
        <f t="shared" si="7"/>
        <v>805</v>
      </c>
      <c r="AC14" s="197">
        <f t="shared" si="7"/>
        <v>0</v>
      </c>
      <c r="AD14" s="197">
        <f t="shared" si="7"/>
        <v>0</v>
      </c>
      <c r="AE14" s="197">
        <f t="shared" si="7"/>
        <v>0</v>
      </c>
      <c r="AF14" s="197">
        <f>SUBTOTAL(9,AF9:AF13)</f>
        <v>0</v>
      </c>
      <c r="AG14" s="197">
        <f t="shared" ref="AG14:AT14" si="8">SUBTOTAL(9,AG8:AG13)</f>
        <v>1011</v>
      </c>
      <c r="AH14" s="197">
        <f t="shared" si="8"/>
        <v>809</v>
      </c>
      <c r="AI14" s="197">
        <f t="shared" si="8"/>
        <v>917</v>
      </c>
      <c r="AJ14" s="197">
        <f t="shared" si="8"/>
        <v>904</v>
      </c>
      <c r="AK14" s="197">
        <f t="shared" si="8"/>
        <v>0</v>
      </c>
      <c r="AL14" s="197">
        <f t="shared" si="8"/>
        <v>0</v>
      </c>
      <c r="AM14" s="197">
        <f t="shared" si="8"/>
        <v>0</v>
      </c>
      <c r="AN14" s="197">
        <f t="shared" si="8"/>
        <v>0</v>
      </c>
      <c r="AO14" s="197">
        <f t="shared" si="8"/>
        <v>20</v>
      </c>
      <c r="AP14" s="197">
        <f t="shared" si="8"/>
        <v>20</v>
      </c>
      <c r="AQ14" s="197">
        <f t="shared" si="8"/>
        <v>20</v>
      </c>
      <c r="AR14" s="197">
        <f t="shared" si="8"/>
        <v>20</v>
      </c>
      <c r="AS14" s="197">
        <f t="shared" si="8"/>
        <v>0</v>
      </c>
      <c r="AT14" s="197">
        <f t="shared" si="8"/>
        <v>0</v>
      </c>
      <c r="AU14" s="217"/>
      <c r="AV14" s="142"/>
      <c r="AW14" s="217"/>
      <c r="AX14" s="142"/>
      <c r="AY14" s="197">
        <f>SUBTOTAL(9,AY8:AY13)</f>
        <v>32570</v>
      </c>
      <c r="AZ14" s="197">
        <f>SUBTOTAL(9,AZ8:AZ13)</f>
        <v>7462</v>
      </c>
      <c r="BA14" s="197">
        <f>SUBTOTAL(9,BA8:BA13)</f>
        <v>8763</v>
      </c>
      <c r="BB14" s="197">
        <f>SUBTOTAL(9,BB8:BB13)</f>
        <v>31277</v>
      </c>
      <c r="BC14" s="197">
        <f>SUBTOTAL(9,BC8:BC13)</f>
        <v>3651</v>
      </c>
      <c r="BD14" s="219">
        <f>IF(ISNUMBER(BA14/AZ14),BA14/AZ14," - ")</f>
        <v>1.1743500402036988</v>
      </c>
      <c r="BE14" s="220">
        <f>IF(ISNUMBER(BB14/BA14),BB14/BA14, " - ")</f>
        <v>3.5692114572634943</v>
      </c>
      <c r="BF14" s="220">
        <f>IF(ISNUMBER(BC14/BA14),BC14/BA14, " - ")</f>
        <v>0.41663813762410135</v>
      </c>
      <c r="BG14" s="221">
        <f>IF(ISNUMBER((AY14+AZ14)/BA14),(AY14+AZ14)/BA14," - ")</f>
        <v>4.5682985279014039</v>
      </c>
      <c r="BH14" s="153">
        <f>SUBTOTAL(9,BH8:BH13)</f>
        <v>19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5839</v>
      </c>
      <c r="J16" s="196">
        <v>9942</v>
      </c>
      <c r="K16" s="196">
        <v>9895</v>
      </c>
      <c r="L16" s="196">
        <v>6156</v>
      </c>
      <c r="M16" s="196">
        <v>812</v>
      </c>
      <c r="N16" s="196">
        <v>6286</v>
      </c>
      <c r="O16" s="194">
        <v>107</v>
      </c>
      <c r="P16" s="196">
        <v>197</v>
      </c>
      <c r="Q16" s="196">
        <v>189</v>
      </c>
      <c r="R16" s="196">
        <v>672</v>
      </c>
      <c r="S16" s="196">
        <v>4873</v>
      </c>
      <c r="T16" s="196">
        <v>9228</v>
      </c>
      <c r="U16" s="196">
        <v>9250</v>
      </c>
      <c r="V16" s="196">
        <v>4974</v>
      </c>
      <c r="W16" s="196">
        <v>911</v>
      </c>
      <c r="X16" s="202">
        <v>5817</v>
      </c>
      <c r="Y16" s="215">
        <v>0</v>
      </c>
      <c r="Z16" s="196">
        <v>0</v>
      </c>
      <c r="AA16" s="196">
        <v>0</v>
      </c>
      <c r="AB16" s="196">
        <v>0</v>
      </c>
      <c r="AC16" s="196">
        <v>2</v>
      </c>
      <c r="AD16" s="196">
        <v>54</v>
      </c>
      <c r="AE16" s="196">
        <v>54</v>
      </c>
      <c r="AF16" s="202">
        <v>2</v>
      </c>
      <c r="AG16" s="215">
        <v>0</v>
      </c>
      <c r="AH16" s="196">
        <v>0</v>
      </c>
      <c r="AI16" s="196">
        <v>0</v>
      </c>
      <c r="AJ16" s="216">
        <v>0</v>
      </c>
      <c r="AK16" s="195">
        <v>0</v>
      </c>
      <c r="AL16" s="196">
        <v>1</v>
      </c>
      <c r="AM16" s="196">
        <v>1</v>
      </c>
      <c r="AN16" s="202">
        <v>0</v>
      </c>
      <c r="AO16" s="283">
        <v>9</v>
      </c>
      <c r="AP16" s="168">
        <v>9</v>
      </c>
      <c r="AQ16" s="168">
        <v>9</v>
      </c>
      <c r="AR16" s="168">
        <v>9</v>
      </c>
      <c r="AS16" s="381" t="s">
        <v>702</v>
      </c>
      <c r="AT16" s="216" t="s">
        <v>424</v>
      </c>
      <c r="AU16" s="215"/>
      <c r="AV16" s="216"/>
      <c r="AW16" s="215"/>
      <c r="AX16" s="216"/>
      <c r="AY16" s="138">
        <f t="shared" ref="AY16:BB17" si="10">IF(ISNUMBER(IF(D_I="SI",S16,S16+AK16)),IF(D_I="SI",S16,S16+AK16)," - ")</f>
        <v>4873</v>
      </c>
      <c r="AZ16" s="139">
        <f t="shared" si="10"/>
        <v>9228</v>
      </c>
      <c r="BA16" s="139">
        <f t="shared" si="10"/>
        <v>9250</v>
      </c>
      <c r="BB16" s="139">
        <f t="shared" si="10"/>
        <v>4974</v>
      </c>
      <c r="BC16" s="135">
        <f>IF(ISNUMBER(W16),W16," - ")</f>
        <v>911</v>
      </c>
      <c r="BD16" s="136">
        <f>IF(ISNUMBER(BA16/AZ16),BA16/AZ16," - ")</f>
        <v>1.0023840485478976</v>
      </c>
      <c r="BE16" s="137">
        <f>IF(ISNUMBER(BB16/BA16),BB16/BA16, " - ")</f>
        <v>0.53772972972972977</v>
      </c>
      <c r="BF16" s="137">
        <f>IF(ISNUMBER(BC16/BA16),BC16/BA16, " - ")</f>
        <v>9.8486486486486488E-2</v>
      </c>
      <c r="BG16" s="209">
        <f t="shared" ref="BG16:BG22" si="11">IF(ISNUMBER((AY16+AZ16)/BA16),(AY16+AZ16)/BA16," - ")</f>
        <v>1.5244324324324325</v>
      </c>
      <c r="BH16" s="168">
        <v>9</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227</v>
      </c>
      <c r="J18" s="196">
        <v>1061</v>
      </c>
      <c r="K18" s="196">
        <v>1041</v>
      </c>
      <c r="L18" s="196">
        <v>248</v>
      </c>
      <c r="M18" s="196">
        <v>123</v>
      </c>
      <c r="N18" s="196">
        <v>790</v>
      </c>
      <c r="O18" s="196">
        <v>0</v>
      </c>
      <c r="P18" s="196">
        <v>4</v>
      </c>
      <c r="Q18" s="196">
        <v>5</v>
      </c>
      <c r="R18" s="196">
        <v>22</v>
      </c>
      <c r="S18" s="196">
        <v>207</v>
      </c>
      <c r="T18" s="196">
        <v>868</v>
      </c>
      <c r="U18" s="196">
        <v>848</v>
      </c>
      <c r="V18" s="196">
        <v>192</v>
      </c>
      <c r="W18" s="196">
        <v>99</v>
      </c>
      <c r="X18" s="202">
        <v>623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2</v>
      </c>
      <c r="AQ18" s="167">
        <v>2</v>
      </c>
      <c r="AR18" s="168">
        <v>2</v>
      </c>
      <c r="AS18" s="380" t="s">
        <v>1065</v>
      </c>
      <c r="AT18" s="223"/>
      <c r="AU18" s="213"/>
      <c r="AV18" s="223"/>
      <c r="AW18" s="213"/>
      <c r="AX18" s="223"/>
      <c r="AY18" s="138">
        <f t="shared" ref="AY18:BB19" si="15">IF(ISNUMBER(S18),S18," - ")</f>
        <v>207</v>
      </c>
      <c r="AZ18" s="139">
        <f t="shared" si="15"/>
        <v>868</v>
      </c>
      <c r="BA18" s="139">
        <f t="shared" si="15"/>
        <v>848</v>
      </c>
      <c r="BB18" s="139">
        <f t="shared" si="15"/>
        <v>192</v>
      </c>
      <c r="BC18" s="135">
        <f>IF(ISNUMBER(W18),W18," - ")</f>
        <v>99</v>
      </c>
      <c r="BD18" s="136">
        <f>IF(ISNUMBER(BA18/AZ18),BA18/AZ18," - ")</f>
        <v>0.97695852534562211</v>
      </c>
      <c r="BE18" s="137">
        <f>IF(ISNUMBER(BB18/BA18),BB18/BA18, " - ")</f>
        <v>0.22641509433962265</v>
      </c>
      <c r="BF18" s="137">
        <f>IF(ISNUMBER(BC18/BA18),BC18/BA18, " - ")</f>
        <v>0.11674528301886793</v>
      </c>
      <c r="BG18" s="209">
        <f>IF(ISNUMBER((AY18+AZ18)/BA18),(AY18+AZ18)/BA18," - ")</f>
        <v>1.2676886792452831</v>
      </c>
      <c r="BH18" s="168">
        <v>2</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6066</v>
      </c>
      <c r="J23" s="197">
        <f t="shared" si="21"/>
        <v>11003</v>
      </c>
      <c r="K23" s="197">
        <f t="shared" si="21"/>
        <v>10936</v>
      </c>
      <c r="L23" s="197">
        <f t="shared" si="21"/>
        <v>6404</v>
      </c>
      <c r="M23" s="197">
        <f t="shared" si="21"/>
        <v>935</v>
      </c>
      <c r="N23" s="197">
        <f t="shared" si="21"/>
        <v>7076</v>
      </c>
      <c r="O23" s="197">
        <f t="shared" si="21"/>
        <v>107</v>
      </c>
      <c r="P23" s="197">
        <f t="shared" si="21"/>
        <v>201</v>
      </c>
      <c r="Q23" s="197">
        <f t="shared" si="21"/>
        <v>194</v>
      </c>
      <c r="R23" s="197">
        <f t="shared" si="21"/>
        <v>694</v>
      </c>
      <c r="S23" s="197">
        <f t="shared" si="21"/>
        <v>5080</v>
      </c>
      <c r="T23" s="197">
        <f t="shared" si="21"/>
        <v>10096</v>
      </c>
      <c r="U23" s="197">
        <f t="shared" si="21"/>
        <v>10098</v>
      </c>
      <c r="V23" s="197">
        <f t="shared" si="21"/>
        <v>5166</v>
      </c>
      <c r="W23" s="197">
        <f t="shared" si="21"/>
        <v>1010</v>
      </c>
      <c r="X23" s="197">
        <f t="shared" si="21"/>
        <v>6440</v>
      </c>
      <c r="Y23" s="197">
        <f t="shared" si="21"/>
        <v>0</v>
      </c>
      <c r="Z23" s="197">
        <f t="shared" si="21"/>
        <v>0</v>
      </c>
      <c r="AA23" s="197">
        <f t="shared" si="21"/>
        <v>0</v>
      </c>
      <c r="AB23" s="197">
        <f t="shared" si="21"/>
        <v>0</v>
      </c>
      <c r="AC23" s="197">
        <f t="shared" si="21"/>
        <v>2</v>
      </c>
      <c r="AD23" s="197">
        <f t="shared" si="21"/>
        <v>54</v>
      </c>
      <c r="AE23" s="197">
        <f t="shared" si="21"/>
        <v>54</v>
      </c>
      <c r="AF23" s="197">
        <f t="shared" si="21"/>
        <v>2</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11</v>
      </c>
      <c r="AP23" s="197">
        <f t="shared" si="21"/>
        <v>11</v>
      </c>
      <c r="AQ23" s="197">
        <f t="shared" si="21"/>
        <v>11</v>
      </c>
      <c r="AR23" s="197">
        <f t="shared" si="21"/>
        <v>11</v>
      </c>
      <c r="AS23" s="197">
        <f t="shared" si="21"/>
        <v>0</v>
      </c>
      <c r="AT23" s="197">
        <f t="shared" si="21"/>
        <v>0</v>
      </c>
      <c r="AU23" s="217"/>
      <c r="AV23" s="142"/>
      <c r="AW23" s="217"/>
      <c r="AX23" s="142"/>
      <c r="AY23" s="197">
        <f>SUBTOTAL(9,AY15:AY22)</f>
        <v>5080</v>
      </c>
      <c r="AZ23" s="197">
        <f>SUBTOTAL(9,AZ15:AZ22)</f>
        <v>10096</v>
      </c>
      <c r="BA23" s="197">
        <f>SUBTOTAL(9,BA15:BA22)</f>
        <v>10098</v>
      </c>
      <c r="BB23" s="197">
        <f>SUBTOTAL(9,BB15:BB22)</f>
        <v>5166</v>
      </c>
      <c r="BC23" s="197">
        <f>SUBTOTAL(9,BC15:BC22)</f>
        <v>1010</v>
      </c>
      <c r="BD23" s="219">
        <f>IF(ISNUMBER(BA23/AZ23),BA23/AZ23," - ")</f>
        <v>1.0001980982567353</v>
      </c>
      <c r="BE23" s="220">
        <f>IF(ISNUMBER(BB23/BA23),BB23/BA23, " - ")</f>
        <v>0.51158645276292336</v>
      </c>
      <c r="BF23" s="220">
        <f>IF(ISNUMBER(BC23/BA23),BC23/BA23, " - ")</f>
        <v>0.10001980590215884</v>
      </c>
      <c r="BG23" s="221">
        <f>IF(ISNUMBER((AY23+AZ23)/BA23),(AY23+AZ23)/BA23," - ")</f>
        <v>1.5028718558130323</v>
      </c>
      <c r="BH23" s="197">
        <f>SUBTOTAL(9,BH15:BH22)</f>
        <v>11</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37253</v>
      </c>
      <c r="J31" s="144">
        <f t="shared" si="36"/>
        <v>20102</v>
      </c>
      <c r="K31" s="144">
        <f t="shared" si="36"/>
        <v>18580</v>
      </c>
      <c r="L31" s="144">
        <f t="shared" si="36"/>
        <v>39043</v>
      </c>
      <c r="M31" s="144">
        <f t="shared" si="36"/>
        <v>3134</v>
      </c>
      <c r="N31" s="144">
        <f t="shared" si="36"/>
        <v>10831</v>
      </c>
      <c r="O31" s="144">
        <f t="shared" si="36"/>
        <v>3600</v>
      </c>
      <c r="P31" s="144">
        <f t="shared" si="36"/>
        <v>1838</v>
      </c>
      <c r="Q31" s="144">
        <f t="shared" si="36"/>
        <v>3255</v>
      </c>
      <c r="R31" s="144">
        <f t="shared" si="36"/>
        <v>32490</v>
      </c>
      <c r="S31" s="144">
        <f t="shared" si="36"/>
        <v>36639</v>
      </c>
      <c r="T31" s="144">
        <f t="shared" si="36"/>
        <v>16749</v>
      </c>
      <c r="U31" s="144">
        <f t="shared" si="36"/>
        <v>17944</v>
      </c>
      <c r="V31" s="144">
        <f t="shared" si="36"/>
        <v>35539</v>
      </c>
      <c r="W31" s="144">
        <f t="shared" si="36"/>
        <v>3707</v>
      </c>
      <c r="X31" s="144">
        <f t="shared" si="36"/>
        <v>10116</v>
      </c>
      <c r="Y31" s="144">
        <f t="shared" si="36"/>
        <v>777</v>
      </c>
      <c r="Z31" s="144">
        <f t="shared" si="36"/>
        <v>910</v>
      </c>
      <c r="AA31" s="144">
        <f t="shared" si="36"/>
        <v>882</v>
      </c>
      <c r="AB31" s="144">
        <f t="shared" si="36"/>
        <v>805</v>
      </c>
      <c r="AC31" s="144">
        <f t="shared" si="36"/>
        <v>2</v>
      </c>
      <c r="AD31" s="144">
        <f t="shared" si="36"/>
        <v>54</v>
      </c>
      <c r="AE31" s="144">
        <f t="shared" si="36"/>
        <v>54</v>
      </c>
      <c r="AF31" s="144">
        <f t="shared" si="36"/>
        <v>2</v>
      </c>
      <c r="AG31" s="144">
        <f t="shared" si="36"/>
        <v>1011</v>
      </c>
      <c r="AH31" s="144">
        <f t="shared" si="36"/>
        <v>809</v>
      </c>
      <c r="AI31" s="144">
        <f t="shared" si="36"/>
        <v>917</v>
      </c>
      <c r="AJ31" s="144">
        <f t="shared" si="36"/>
        <v>904</v>
      </c>
      <c r="AK31" s="144">
        <f t="shared" si="36"/>
        <v>0</v>
      </c>
      <c r="AL31" s="144">
        <f t="shared" si="36"/>
        <v>1</v>
      </c>
      <c r="AM31" s="144">
        <f t="shared" si="36"/>
        <v>1</v>
      </c>
      <c r="AN31" s="224">
        <f t="shared" si="36"/>
        <v>0</v>
      </c>
      <c r="AO31" s="225">
        <v>29</v>
      </c>
      <c r="AP31" s="225">
        <v>29</v>
      </c>
      <c r="AQ31" s="225">
        <v>29</v>
      </c>
      <c r="AR31" s="225">
        <v>29</v>
      </c>
      <c r="AS31" s="166">
        <f t="shared" si="36"/>
        <v>0</v>
      </c>
      <c r="AT31" s="166">
        <f t="shared" si="36"/>
        <v>0</v>
      </c>
      <c r="AU31" s="225"/>
      <c r="AV31" s="226"/>
      <c r="AW31" s="225"/>
      <c r="AX31" s="226"/>
      <c r="AY31" s="143">
        <f>SUBTOTAL(9,AY9:AY30)</f>
        <v>37650</v>
      </c>
      <c r="AZ31" s="144">
        <f>SUBTOTAL(9,AZ9:AZ30)</f>
        <v>17558</v>
      </c>
      <c r="BA31" s="144">
        <f>SUBTOTAL(9,BA9:BA30)</f>
        <v>18861</v>
      </c>
      <c r="BB31" s="144">
        <f>SUBTOTAL(9,BB9:BB30)</f>
        <v>36443</v>
      </c>
      <c r="BC31" s="145">
        <f>SUBTOTAL(9,BC9:BC30)</f>
        <v>4661</v>
      </c>
      <c r="BD31" s="227">
        <f>IF(ISNUMBER(BA31/AZ31),BA31/AZ31," - ")</f>
        <v>1.0742111857842578</v>
      </c>
      <c r="BE31" s="224">
        <f>IF(ISNUMBER(BB31/BA31),BB31/BA31, " - ")</f>
        <v>1.9321881130374847</v>
      </c>
      <c r="BF31" s="224">
        <f>IF(ISNUMBER(BC31/BA31),BC31/BA31, " - ")</f>
        <v>0.24712369439584328</v>
      </c>
      <c r="BG31" s="145">
        <f>IF(ISNUMBER((AY31+AZ31)/BA31),(AY31+AZ31)/BA31," - ")</f>
        <v>2.9270982450559355</v>
      </c>
      <c r="BH31" s="225">
        <f>SUBTOTAL(9,BH9:BH30)</f>
        <v>30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gb6nhcziGt9BBvmXihiv9H6ITSkSFjKkQPqhS9G8q2pESCirddUUdgFaAhn7lF1swHC2MC9MJXI1PpSl03wHw==" saltValue="koxc6TT02bO7UIr/I2DwI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vTdftwrafSaYxNBKlouqOy1eXHssIxI1fcnxx08AdcMmbk490wFmuCYgBcOpzvlHqm7VB9Ykz+aTzcyEQDrJw==" saltValue="PSBRLbIwUxWwQxElWgT+O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REGION DE MURCIA</v>
      </c>
      <c r="F1" s="578"/>
    </row>
    <row r="2" spans="1:74" ht="16.5" customHeight="1">
      <c r="C2" s="567" t="str">
        <f>Criterios!A10 &amp;"  "&amp;Criterios!B10 &amp; "  " &amp; IF(NOT(ISBLANK(Criterios!A11)),Criterios!A11 &amp;"  "&amp;Criterios!B11,"")</f>
        <v>Provincias  MURCIA  Resumenes por Partidos Judiciales  MURCIA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14</v>
      </c>
      <c r="B9" s="745" t="s">
        <v>321</v>
      </c>
      <c r="C9" s="765" t="str">
        <f>Datos!A9</f>
        <v xml:space="preserve">Jdos. 1ª Instancia   </v>
      </c>
      <c r="D9" s="593"/>
      <c r="E9" s="764">
        <f>IF(ISNUMBER(Datos!AQ9),Datos!AQ9," - ")</f>
        <v>14</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477</v>
      </c>
      <c r="O9" s="549"/>
      <c r="P9" s="549"/>
      <c r="Q9" s="547">
        <f>IF(ISNUMBER(Datos!P9),Datos!P9,0)</f>
        <v>1493</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2978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398</v>
      </c>
      <c r="AI9" s="549" t="str">
        <f>IF(ISNUMBER(Datos!CD9),Datos!CD9,"-")</f>
        <v>-</v>
      </c>
      <c r="AJ9" s="549" t="str">
        <f>IF(ISNUMBER(Datos!EN9),Datos!EN9," - ")</f>
        <v xml:space="preserve"> - </v>
      </c>
      <c r="AK9" s="549"/>
      <c r="AL9" s="550"/>
      <c r="AM9" s="766">
        <f>IF(ISNUMBER(Datos!R9),Datos!R9," - ")</f>
        <v>30011</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1784</v>
      </c>
      <c r="BD9" s="693">
        <f>IF(ISNUMBER(Datos!N9),Datos!N9," - ")</f>
        <v>3038</v>
      </c>
      <c r="BE9" s="693" t="str">
        <f>IF(ISNUMBER(Datos!BW9),Datos!BW9," - ")</f>
        <v xml:space="preserve"> - </v>
      </c>
      <c r="BF9" s="762" t="str">
        <f>IF(ISNUMBER(Datos!BX9),Datos!BX9," - ")</f>
        <v xml:space="preserve"> - </v>
      </c>
      <c r="BG9" s="763">
        <f>IF(ISNUMBER(IF(J_V="SI",Datos!K9/Datos!J9,(Datos!K9+Datos!AA9)/(Datos!J9+Datos!Z9))),IF(J_V="SI",Datos!K9/Datos!J9,(Datos!K9+Datos!AA9)/(Datos!J9+Datos!Z9))," - ")</f>
        <v>0.83914019133105</v>
      </c>
      <c r="BH9" s="764">
        <f>IF(ISNUMBER(((IF(J_V="SI",Datos!L9/Datos!K9,(Datos!L9+Datos!AB9)/(Datos!K9+Datos!AA9)))*11)/factor_trimestre),((IF(J_V="SI",Datos!L9/Datos!K9,(Datos!L9+Datos!AB9)/(Datos!K9+Datos!AA9)))*11)/factor_trimestre," - ")</f>
        <v>12.770161857846588</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-4.7148844297688598E-2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2</v>
      </c>
      <c r="B10" s="746" t="s">
        <v>321</v>
      </c>
      <c r="C10" s="747" t="str">
        <f>Datos!A10</f>
        <v>Jdos. Violencia contra la mujer</v>
      </c>
      <c r="D10" s="601"/>
      <c r="E10" s="764">
        <f>IF(ISNUMBER(Datos!AQ10),Datos!AQ10," - ")</f>
        <v>2</v>
      </c>
      <c r="F10" s="552">
        <f>IF(ISNUMBER(Datos!L10+Datos!K10-Datos!J10),Datos!L10+Datos!K10-Datos!J10," - ")</f>
        <v>314</v>
      </c>
      <c r="G10" s="543">
        <f>IF(ISNUMBER(Datos!I10),Datos!I10," - ")</f>
        <v>314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183</v>
      </c>
      <c r="AC10" s="547">
        <f>IF(ISNUMBER(Datos!Q10),Datos!Q10," - ")</f>
        <v>22</v>
      </c>
      <c r="AD10" s="549"/>
      <c r="AE10" s="563"/>
      <c r="AF10" s="551">
        <f>IF(ISNUMBER(Datos!L10),Datos!L10,"-")</f>
        <v>308</v>
      </c>
      <c r="AG10" s="549"/>
      <c r="AH10" s="549"/>
      <c r="AI10" s="549"/>
      <c r="AJ10" s="549"/>
      <c r="AK10" s="549"/>
      <c r="AL10" s="550"/>
      <c r="AM10" s="766">
        <f>IF(ISNUMBER(Datos!R10),Datos!R10," - ")</f>
        <v>197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45</v>
      </c>
      <c r="BD10" s="693">
        <f>IF(ISNUMBER(Datos!N10),Datos!N10," - ")</f>
        <v>115</v>
      </c>
      <c r="BE10" s="693" t="str">
        <f>IF(ISNUMBER(Datos!BW10),Datos!BW10," - ")</f>
        <v xml:space="preserve"> - </v>
      </c>
      <c r="BF10" s="762" t="str">
        <f>IF(ISNUMBER(Datos!BX10),Datos!BX10," - ")</f>
        <v xml:space="preserve"> - </v>
      </c>
      <c r="BG10" s="763">
        <f>IF(ISNUMBER(Datos!K10/Datos!J10),Datos!K10/Datos!J10," - ")</f>
        <v>1.0338983050847457</v>
      </c>
      <c r="BH10" s="764">
        <f>IF(ISNUMBER(((Datos!L10/Datos!K10)*11)/factor_trimestre),((Datos!L10/Datos!K10)*11)/factor_trimestre," - ")</f>
        <v>5.0491803278688536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-5.7416267942583733E-2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4</v>
      </c>
      <c r="B11" s="746" t="s">
        <v>321</v>
      </c>
      <c r="C11" s="747" t="str">
        <f>Datos!A11</f>
        <v xml:space="preserve">Jdos. Familia                                   </v>
      </c>
      <c r="D11" s="601"/>
      <c r="E11" s="764">
        <f>IF(ISNUMBER(Datos!AQ11),Datos!AQ11," - ")</f>
        <v>4</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433</v>
      </c>
      <c r="O11" s="549"/>
      <c r="P11" s="549"/>
      <c r="Q11" s="547">
        <f>IF(ISNUMBER(Datos!P11),Datos!P11,0)</f>
        <v>134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61</v>
      </c>
      <c r="AD11" s="549"/>
      <c r="AE11" s="563"/>
      <c r="AF11" s="551" t="str">
        <f>IF(ISNUMBER(IF(J_V="SI",Datos!L11,Datos!L11+Datos!AB11)-IF(Monitorios="SI",Datos!CD11,0)),
                          IF(J_V="SI",Datos!L11,Datos!L11+Datos!AB11)-IF(Monitorios="SI",Datos!CD11,0),
                          " - ")</f>
        <v xml:space="preserve"> - </v>
      </c>
      <c r="AG11" s="549"/>
      <c r="AH11" s="549">
        <f>IF(ISNUMBER(Datos!AB11),Datos!AB11,"-")</f>
        <v>407</v>
      </c>
      <c r="AI11" s="549"/>
      <c r="AJ11" s="549"/>
      <c r="AK11" s="549"/>
      <c r="AL11" s="550"/>
      <c r="AM11" s="766">
        <f>IF(ISNUMBER(Datos!R11),Datos!R11," - ")</f>
        <v>1588</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370</v>
      </c>
      <c r="BD11" s="693">
        <f>IF(ISNUMBER(Datos!N11),Datos!N11," - ")</f>
        <v>602</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0.90695970695970696</v>
      </c>
      <c r="BH11" s="764">
        <f>IF(ISNUMBER(((IF(J_V="SI",Datos!L11/Datos!K11,(Datos!L11+Datos!AB11)/(Datos!K11+Datos!AA11)))*11)/factor_trimestre),((IF(J_V="SI",Datos!L11/Datos!K11,(Datos!L11+Datos!AB11)/(Datos!K11+Datos!AA11)))*11)/factor_trimestre," - ")</f>
        <v>7.0080775444264951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4.8184818481848184E-2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20</v>
      </c>
      <c r="F14" s="1197">
        <f t="shared" si="1"/>
        <v>314</v>
      </c>
      <c r="G14" s="1197">
        <f t="shared" si="1"/>
        <v>314</v>
      </c>
      <c r="H14" s="1198">
        <f t="shared" si="1"/>
        <v>0</v>
      </c>
      <c r="I14" s="1197">
        <f t="shared" si="1"/>
        <v>0</v>
      </c>
      <c r="J14" s="1164">
        <f t="shared" si="1"/>
        <v>0</v>
      </c>
      <c r="K14" s="1164">
        <f t="shared" si="1"/>
        <v>0</v>
      </c>
      <c r="L14" s="1198">
        <f t="shared" si="1"/>
        <v>0</v>
      </c>
      <c r="M14" s="1198">
        <f t="shared" si="1"/>
        <v>0</v>
      </c>
      <c r="N14" s="1198">
        <f t="shared" si="1"/>
        <v>910</v>
      </c>
      <c r="O14" s="1199">
        <f t="shared" si="1"/>
        <v>0</v>
      </c>
      <c r="P14" s="1199">
        <f t="shared" si="1"/>
        <v>0</v>
      </c>
      <c r="Q14" s="1198">
        <f t="shared" si="1"/>
        <v>1637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183</v>
      </c>
      <c r="AC14" s="1198">
        <f t="shared" si="2"/>
        <v>3061</v>
      </c>
      <c r="AD14" s="1198">
        <f t="shared" si="2"/>
        <v>0</v>
      </c>
      <c r="AE14" s="1198">
        <f t="shared" si="2"/>
        <v>0</v>
      </c>
      <c r="AF14" s="1198">
        <f t="shared" si="2"/>
        <v>308</v>
      </c>
      <c r="AG14" s="1198">
        <f t="shared" si="2"/>
        <v>0</v>
      </c>
      <c r="AH14" s="1198">
        <f t="shared" si="2"/>
        <v>805</v>
      </c>
      <c r="AI14" s="1198">
        <f t="shared" si="2"/>
        <v>0</v>
      </c>
      <c r="AJ14" s="1198">
        <f t="shared" si="2"/>
        <v>0</v>
      </c>
      <c r="AK14" s="1198">
        <f t="shared" si="2"/>
        <v>0</v>
      </c>
      <c r="AL14" s="1198">
        <f t="shared" si="2"/>
        <v>0</v>
      </c>
      <c r="AM14" s="1198">
        <f t="shared" si="2"/>
        <v>31796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2199</v>
      </c>
      <c r="BD14" s="1198">
        <f t="shared" si="2"/>
        <v>3755</v>
      </c>
      <c r="BE14" s="1198">
        <f t="shared" si="2"/>
        <v>0</v>
      </c>
      <c r="BF14" s="1198">
        <f t="shared" si="2"/>
        <v>0</v>
      </c>
      <c r="BG14" s="1198">
        <f>IF(ISNUMBER(Datos!K14/Datos!J14),Datos!K14/Datos!J14," - ")</f>
        <v>0.84009231783712501</v>
      </c>
      <c r="BH14" s="1202">
        <f>IF(ISNUMBER(((Datos!L14/Datos!K14)*11)/factor_trimestre),((Datos!L14/Datos!K14)*11)/factor_trimestre," - ")</f>
        <v>12.809654631083204</v>
      </c>
      <c r="BI14" s="1198">
        <f>IF(ISNUMBER('Resol  Asuntos'!D14/NºAsuntos!G14),'Resol  Asuntos'!D14/NºAsuntos!G14," - ")</f>
        <v>0.25791695988740326</v>
      </c>
      <c r="BJ14" s="1198" t="str">
        <f>IF(ISNUMBER(Datos!CI14/Datos!CJ14),Datos!CI14/Datos!CJ14," - ")</f>
        <v xml:space="preserve"> - </v>
      </c>
      <c r="BK14" s="1198">
        <f>SUBTOTAL(9,BK8:BK13)</f>
        <v>0</v>
      </c>
      <c r="BL14" s="1198">
        <f>IF(ISNUMBER((I14-AB14+L14)/(F14)),(I14-AB14+L14)/(F14)," - ")</f>
        <v>-0.58280254777070062</v>
      </c>
      <c r="BM14" s="1203">
        <f>SUBTOTAL(9,BM9:BM13)</f>
        <v>-5.6380293758424148E-2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9</v>
      </c>
      <c r="B16" s="737" t="s">
        <v>511</v>
      </c>
      <c r="C16" s="749" t="str">
        <f>Datos!A16</f>
        <v xml:space="preserve">Jdos. Instrucción                               </v>
      </c>
      <c r="D16" s="750"/>
      <c r="E16" s="1555">
        <f>IF(ISNUMBER(Datos!AQ16),Datos!AQ16," - ")</f>
        <v>9</v>
      </c>
      <c r="F16" s="740">
        <f>IF(ISNUMBER(AF16+AB16-Datos!J16-L16),AF16+AB16-Datos!J16-L16," - ")</f>
        <v>6109</v>
      </c>
      <c r="G16" s="743">
        <f>IF(ISNUMBER(IF(D_I="SI",Datos!I16,Datos!I16+Datos!AC16)),IF(D_I="SI",Datos!I16,Datos!I16+Datos!AC16)," - ")</f>
        <v>5839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197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9895</v>
      </c>
      <c r="AC16" s="240">
        <f>IF(ISNUMBER(Datos!Q16),Datos!Q16," - ")</f>
        <v>189</v>
      </c>
      <c r="AD16" s="374"/>
      <c r="AE16" s="562"/>
      <c r="AF16" s="741">
        <f>IF(ISNUMBER(IF(D_I="SI",Datos!L16,Datos!L16+Datos!AF16)),IF(D_I="SI",Datos!L16,Datos!L16+Datos!AF16)," - ")</f>
        <v>6156</v>
      </c>
      <c r="AG16" s="374"/>
      <c r="AH16" s="374"/>
      <c r="AI16" s="374"/>
      <c r="AJ16" s="549"/>
      <c r="AK16" s="374"/>
      <c r="AL16" s="545"/>
      <c r="AM16" s="375">
        <f>IF(ISNUMBER(Datos!R16),Datos!R16," - ")</f>
        <v>672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812</v>
      </c>
      <c r="BD16" s="243">
        <f>IF(ISNUMBER(Datos!N16),Datos!N16," - ")</f>
        <v>6286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0.99527258096962379</v>
      </c>
      <c r="BH16" s="764">
        <f>IF(ISNUMBER(((IF(D_I="SI",Datos!L16/Datos!K16,(Datos!L16+Datos!AF16)/(Datos!K16+Datos!AE16)))*11)/factor_trimestre),((IF(D_I="SI",Datos!L16/Datos!K16,(Datos!L16+Datos!AF16)/(Datos!K16+Datos!AE16)))*11)/factor_trimestre," - ")</f>
        <v>1.8663971702880244</v>
      </c>
      <c r="BI16" s="266">
        <f>IF(ISNUMBER('Resol  Asuntos'!D16/NºAsuntos!G16),'Resol  Asuntos'!D16/NºAsuntos!G16," - ")</f>
        <v>8.2061647296614457E-2</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2</v>
      </c>
      <c r="B18" s="746" t="s">
        <v>511</v>
      </c>
      <c r="C18" s="747" t="str">
        <f>Datos!A18</f>
        <v>Jdos. Violencia contra la mujer</v>
      </c>
      <c r="D18" s="601"/>
      <c r="E18" s="1380">
        <f>IF(ISNUMBER(Datos!AQ18),Datos!AQ18," - ")</f>
        <v>2</v>
      </c>
      <c r="F18" s="552" t="str">
        <f>IF(ISNUMBER(AF18+AB18-I18-L18),AF18+AB18-I18-L18," - ")</f>
        <v xml:space="preserve"> - </v>
      </c>
      <c r="G18" s="543">
        <f>IF(ISNUMBER(IF(D_I="SI",Datos!I18,Datos!I18+Datos!AC18)),IF(D_I="SI",Datos!I18,Datos!I18+Datos!AC18)," - ")</f>
        <v>227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1041</v>
      </c>
      <c r="AC18" s="547">
        <f>IF(ISNUMBER(Datos!Q18),Datos!Q18," - ")</f>
        <v>5</v>
      </c>
      <c r="AD18" s="549"/>
      <c r="AE18" s="562"/>
      <c r="AF18" s="551">
        <f>IF(ISNUMBER(Datos!L18),Datos!L18,"-")</f>
        <v>248</v>
      </c>
      <c r="AG18" s="549"/>
      <c r="AH18" s="549"/>
      <c r="AI18" s="549"/>
      <c r="AJ18" s="549"/>
      <c r="AK18" s="549"/>
      <c r="AL18" s="550"/>
      <c r="AM18" s="766">
        <f>IF(ISNUMBER(Datos!R18),Datos!R18," - ")</f>
        <v>22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123</v>
      </c>
      <c r="BD18" s="693">
        <f>IF(ISNUMBER(Datos!N18),Datos!N18," - ")</f>
        <v>790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0.98114985862393966</v>
      </c>
      <c r="BH18" s="764">
        <f>IF(ISNUMBER(((IF(D_I="SI",Datos!L18/Datos!K18,(Datos!L18+Datos!AF18)/(Datos!K18+Datos!AE18)))*11)/factor_trimestre),((IF(D_I="SI",Datos!L18/Datos!K18,(Datos!L18+Datos!AF18)/(Datos!K18+Datos!AE18)))*11)/factor_trimestre," - ")</f>
        <v>0.71469740634005763</v>
      </c>
      <c r="BI18" s="763">
        <f>IF(ISNUMBER('Resol  Asuntos'!D18/NºAsuntos!G18),'Resol  Asuntos'!D18/NºAsuntos!G18," - ")</f>
        <v>0.11815561959654179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11</v>
      </c>
      <c r="F23" s="1197">
        <f>SUBTOTAL(9,F16:F22)</f>
        <v>6109</v>
      </c>
      <c r="G23" s="1197">
        <f>SUBTOTAL(9,G16:G22)</f>
        <v>6066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10936</v>
      </c>
      <c r="AC23" s="1198">
        <f t="shared" si="5"/>
        <v>194</v>
      </c>
      <c r="AD23" s="1198">
        <f t="shared" si="5"/>
        <v>0</v>
      </c>
      <c r="AE23" s="1198">
        <f t="shared" si="5"/>
        <v>0</v>
      </c>
      <c r="AF23" s="1198">
        <f t="shared" si="5"/>
        <v>6404</v>
      </c>
      <c r="AG23" s="1198">
        <f t="shared" si="5"/>
        <v>0</v>
      </c>
      <c r="AH23" s="1198">
        <f t="shared" si="5"/>
        <v>0</v>
      </c>
      <c r="AI23" s="1198">
        <f t="shared" si="5"/>
        <v>0</v>
      </c>
      <c r="AJ23" s="1198">
        <f t="shared" si="5"/>
        <v>0</v>
      </c>
      <c r="AK23" s="1198">
        <f t="shared" si="5"/>
        <v>0</v>
      </c>
      <c r="AL23" s="1198">
        <f t="shared" si="5"/>
        <v>0</v>
      </c>
      <c r="AM23" s="1198">
        <f t="shared" si="5"/>
        <v>694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935</v>
      </c>
      <c r="BD23" s="1198">
        <f t="shared" si="5"/>
        <v>7076</v>
      </c>
      <c r="BE23" s="1198">
        <f t="shared" si="5"/>
        <v>0</v>
      </c>
      <c r="BF23" s="1198">
        <f t="shared" si="5"/>
        <v>0</v>
      </c>
      <c r="BG23" s="1198">
        <f>IF(ISNUMBER(Datos!K23/Datos!J23),Datos!K23/Datos!J23," - ")</f>
        <v>0.99391075161319642</v>
      </c>
      <c r="BH23" s="1202">
        <f>IF(ISNUMBER(((Datos!L23/Datos!K23)*11)/factor_trimestre),((Datos!L23/Datos!K23)*11)/factor_trimestre," - ")</f>
        <v>1.7567666422823702</v>
      </c>
      <c r="BI23" s="1198">
        <f>SUBTOTAL(9,BI16:BI22)</f>
        <v>0.20021726689315625</v>
      </c>
      <c r="BJ23" s="1198">
        <f>SUBTOTAL(9,BJ16:BJ22)</f>
        <v>0</v>
      </c>
      <c r="BK23" s="1198">
        <f>SUBTOTAL(9,BK16:BK22)</f>
        <v>0</v>
      </c>
      <c r="BL23" s="1198">
        <f>IF(ISNUMBER((I23-AB23+L23)/(F23)),(I23-AB23+L23)/(F23)," - ")</f>
        <v>-1.7901456866917662</v>
      </c>
      <c r="BM23" s="1205">
        <f>IF(ISNUMBER((Datos!P23-Datos!Q23)/(Datos!R23-Datos!P23+Datos!Q23)),(Datos!P23-Datos!Q23)/(Datos!R23-Datos!P23+Datos!Q23)," - ")</f>
        <v>1.0189228529839884E-2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31</v>
      </c>
      <c r="F31" s="1117">
        <f t="shared" si="18"/>
        <v>6423</v>
      </c>
      <c r="G31" s="1117">
        <f t="shared" si="18"/>
        <v>6380</v>
      </c>
      <c r="H31" s="1119">
        <f t="shared" si="18"/>
        <v>0</v>
      </c>
      <c r="I31" s="1117">
        <f t="shared" si="18"/>
        <v>0</v>
      </c>
      <c r="J31" s="1119">
        <f t="shared" si="18"/>
        <v>0</v>
      </c>
      <c r="K31" s="1119">
        <f t="shared" si="18"/>
        <v>0</v>
      </c>
      <c r="L31" s="1180">
        <f t="shared" si="18"/>
        <v>0</v>
      </c>
      <c r="M31" s="1180">
        <f t="shared" si="18"/>
        <v>0</v>
      </c>
      <c r="N31" s="1180">
        <f t="shared" si="18"/>
        <v>910</v>
      </c>
      <c r="O31" s="1180">
        <f t="shared" si="18"/>
        <v>0</v>
      </c>
      <c r="P31" s="1180">
        <f t="shared" si="18"/>
        <v>0</v>
      </c>
      <c r="Q31" s="1119">
        <f t="shared" si="18"/>
        <v>1838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11119</v>
      </c>
      <c r="AC31" s="1118">
        <f t="shared" si="19"/>
        <v>3255</v>
      </c>
      <c r="AD31" s="1118">
        <f t="shared" si="19"/>
        <v>0</v>
      </c>
      <c r="AE31" s="1118">
        <f t="shared" si="19"/>
        <v>0</v>
      </c>
      <c r="AF31" s="1125">
        <f t="shared" si="19"/>
        <v>6712</v>
      </c>
      <c r="AG31" s="1125">
        <f t="shared" si="19"/>
        <v>0</v>
      </c>
      <c r="AH31" s="1125">
        <f t="shared" si="19"/>
        <v>805</v>
      </c>
      <c r="AI31" s="1125">
        <f t="shared" si="19"/>
        <v>0</v>
      </c>
      <c r="AJ31" s="1118">
        <f t="shared" si="19"/>
        <v>0</v>
      </c>
      <c r="AK31" s="1125">
        <f t="shared" si="19"/>
        <v>0</v>
      </c>
      <c r="AL31" s="1125">
        <f t="shared" si="19"/>
        <v>0</v>
      </c>
      <c r="AM31" s="1125">
        <f t="shared" si="19"/>
        <v>32490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3134</v>
      </c>
      <c r="BD31" s="1117">
        <f t="shared" si="19"/>
        <v>10831</v>
      </c>
      <c r="BE31" s="1117">
        <f t="shared" si="19"/>
        <v>0</v>
      </c>
      <c r="BF31" s="1127">
        <f t="shared" si="19"/>
        <v>0</v>
      </c>
      <c r="BG31" s="1223">
        <f>IF(ISNUMBER(Datos!K31/Datos!J31),Datos!K31/Datos!J31," - ")</f>
        <v>0.92428614068251913</v>
      </c>
      <c r="BH31" s="1223">
        <f>IF(ISNUMBER(((Datos!L31/Datos!K31)*11)/factor_trimestre),((Datos!L31/Datos!K31)*11)/factor_trimestre," - ")</f>
        <v>6.3040365984930027</v>
      </c>
      <c r="BI31" s="1103">
        <f>IF(ISNUMBER(Datos!J31/Datos!I31),Datos!J31/Datos!I31," - ")</f>
        <v>0.53960754838536495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-1.7311225284135139</v>
      </c>
      <c r="BM31" s="1188">
        <f>IF(ISNUMBER((Datos!P31-Datos!Q31+R31)/(Datos!R31-Datos!P31+Datos!Q31-R31)),(Datos!P31-Datos!Q31+R31)/(Datos!R31-Datos!P31+Datos!Q31-R31)," - ")</f>
        <v>-4.179078066475949E-2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1822.8571428571429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5.8674441271132123</v>
      </c>
      <c r="F33" s="673">
        <f>IF(ISNUMBER(STDEV(F8:F30)),STDEV(F8:F30),"-")</f>
        <v>3076.8057462244833</v>
      </c>
      <c r="G33" s="674">
        <f>IF(ISNUMBER(STDEV(G8:G30)),STDEV(G8:G30),"-")</f>
        <v>2824.8699337946769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4966.7365351429517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817.05004606681086</v>
      </c>
      <c r="BD33" s="673"/>
      <c r="BE33" s="673">
        <f>IF(ISNUMBER(STDEV(BE8:BE30)),STDEV(BE8:BE30),"-")</f>
        <v>0</v>
      </c>
      <c r="BF33" s="678">
        <f>IF(ISNUMBER(STDEV(BF8:BF30)),STDEV(BF8:BF30),"-")</f>
        <v>0</v>
      </c>
      <c r="BG33" s="1052">
        <f>IF(ISNUMBER(STDEV(BG8:BG30)),STDEV(BG8:BG30),"-")</f>
        <v>7.9269597854965609E-2</v>
      </c>
      <c r="BH33" s="1058">
        <f>IF(ISNUMBER(STDEV(BH8:BH30)),STDEV(BH8:BH30),"-")</f>
        <v>5.1178250849768894</v>
      </c>
      <c r="BI33" s="273">
        <f>IF(ISNUMBER(STDEV(BI8:BI30)),STDEV(BI8:BI30),"-")</f>
        <v>7.9469709645455938E-2</v>
      </c>
      <c r="BJ33" s="244" t="str">
        <f>IF(ISNUMBER(BL33/BM33),BL33/BM33," - ")</f>
        <v xml:space="preserve"> - </v>
      </c>
      <c r="BK33" s="709"/>
      <c r="BL33" s="681">
        <f>IF(ISNUMBER(STDEV(BL8:BL30)),STDEV(BL8:BL30),"-")</f>
        <v>0.85372052075013738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IjObxSshcISYTbgqSEMXQJ81iyWyR7USkDCIjPionclvz+lcFFIg/jHP5/Ex6cfiTZdS0k1kcEBbNkIp20Jp/Q==" saltValue="qMFylb+p6XAYlShtg3MlB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REGION DE MURCIA</v>
      </c>
    </row>
    <row r="2" spans="1:73" ht="16.5" customHeight="1">
      <c r="C2" s="647" t="str">
        <f>Criterios!A10 &amp;"  "&amp;Criterios!B10 &amp; "  " &amp; IF(NOT(ISBLANK(Criterios!A11)),Criterios!A11 &amp;"  "&amp;Criterios!B11,"")</f>
        <v>Provincias  MURCIA  Resumenes por Partidos Judiciales  MURCIA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14</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1493</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2978</v>
      </c>
      <c r="AA9" s="551" t="str">
        <f>IF(ISNUMBER(IF(J_V="SI",Datos!L9,Datos!L9+Datos!AB9)-IF(Monitorios="SI",Datos!CD9,0)),
                          IF(J_V="SI",Datos!L9,Datos!L9+Datos!AB9)-IF(Monitorios="SI",Datos!CD9,0),
                          " - ")</f>
        <v xml:space="preserve"> - </v>
      </c>
      <c r="AB9" s="549"/>
      <c r="AC9" s="549"/>
      <c r="AD9" s="563"/>
      <c r="AE9" s="563">
        <f>IF(ISNUMBER(Datos!R9),Datos!R9," - ")</f>
        <v>30011</v>
      </c>
      <c r="AF9" s="693" t="str">
        <f>IF(ISNUMBER(Datos!BV9),Datos!BV9," - ")</f>
        <v xml:space="preserve"> - </v>
      </c>
      <c r="AG9" s="552" t="str">
        <f>IF(ISNUMBER(Datos!DV9),Datos!DV9," - ")</f>
        <v xml:space="preserve"> - </v>
      </c>
      <c r="AH9" s="553"/>
      <c r="AI9" s="554"/>
      <c r="AJ9" s="552">
        <f>IF(ISNUMBER(Datos!M9),Datos!M9," - ")</f>
        <v>1784</v>
      </c>
      <c r="AK9" s="693">
        <f>IF(ISNUMBER(Datos!N9),Datos!N9," - ")</f>
        <v>3038</v>
      </c>
      <c r="AL9" s="693" t="str">
        <f>IF(ISNUMBER(Datos!BW9),Datos!BW9," - ")</f>
        <v xml:space="preserve"> - </v>
      </c>
      <c r="AM9" s="762" t="str">
        <f>IF(ISNUMBER(Datos!BX9),Datos!BX9," - ")</f>
        <v xml:space="preserve"> - </v>
      </c>
      <c r="AN9" s="763"/>
      <c r="AO9" s="764">
        <f>IF(ISNUMBER(((NºAsuntos!I9/NºAsuntos!G9)*11)/factor_trimestre),((NºAsuntos!I9/NºAsuntos!G9)*11)/factor_trimestre," - ")</f>
        <v>12.770161857846588</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-4.7148844297688598E-2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2</v>
      </c>
      <c r="B10" s="746" t="s">
        <v>321</v>
      </c>
      <c r="C10" s="747" t="str">
        <f>Datos!A10</f>
        <v>Jdos. Violencia contra la mujer</v>
      </c>
      <c r="D10" s="601"/>
      <c r="E10" s="1558">
        <f>IF(ISNUMBER(Datos!AQ10),Datos!AQ10," - ")</f>
        <v>2</v>
      </c>
      <c r="F10" s="552">
        <f>IF(ISNUMBER(Datos!L10+Datos!K10-Datos!J10),Datos!L10+Datos!K10-Datos!J10," - ")</f>
        <v>314</v>
      </c>
      <c r="G10" s="552">
        <f>IF(ISNUMBER(Datos!I10),Datos!I10," - ")</f>
        <v>314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183</v>
      </c>
      <c r="Z10" s="805">
        <f>IF(ISNUMBER(Datos!Q10),Datos!Q10," - ")</f>
        <v>22</v>
      </c>
      <c r="AA10" s="551">
        <f>IF(ISNUMBER(Datos!L10),Datos!L10,"-")</f>
        <v>308</v>
      </c>
      <c r="AB10" s="549"/>
      <c r="AC10" s="549"/>
      <c r="AD10" s="563"/>
      <c r="AE10" s="563">
        <f>IF(ISNUMBER(Datos!R10),Datos!R10," - ")</f>
        <v>197</v>
      </c>
      <c r="AF10" s="693" t="str">
        <f>IF(ISNUMBER(Datos!BV10),Datos!BV10," - ")</f>
        <v xml:space="preserve"> - </v>
      </c>
      <c r="AG10" s="552" t="str">
        <f>IF(ISNUMBER(Datos!DV10),Datos!DV10," - ")</f>
        <v xml:space="preserve"> - </v>
      </c>
      <c r="AH10" s="553"/>
      <c r="AI10" s="554"/>
      <c r="AJ10" s="552">
        <f>IF(ISNUMBER(Datos!M10),Datos!M10," - ")</f>
        <v>45</v>
      </c>
      <c r="AK10" s="693">
        <f>IF(ISNUMBER(Datos!N10),Datos!N10," - ")</f>
        <v>115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5.0491803278688536</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-5.7416267942583733E-2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4</v>
      </c>
      <c r="B11" s="746" t="s">
        <v>321</v>
      </c>
      <c r="C11" s="747" t="str">
        <f>Datos!A11</f>
        <v xml:space="preserve">Jdos. Familia                                   </v>
      </c>
      <c r="D11" s="601"/>
      <c r="E11" s="1558">
        <f>IF(ISNUMBER(Datos!AQ11),Datos!AQ11," - ")</f>
        <v>4</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134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61</v>
      </c>
      <c r="AA11" s="551" t="str">
        <f>IF(ISNUMBER(IF(J_V="SI",Datos!L11,Datos!L11+Datos!AB11)-IF(Monitorios="SI",Datos!CD11,0)),
                          IF(J_V="SI",Datos!L11,Datos!L11+Datos!AB11)-IF(Monitorios="SI",Datos!CD11,0),
                          " - ")</f>
        <v xml:space="preserve"> - </v>
      </c>
      <c r="AB11" s="549"/>
      <c r="AC11" s="549"/>
      <c r="AD11" s="563"/>
      <c r="AE11" s="563">
        <f>IF(ISNUMBER(Datos!R11),Datos!R11," - ")</f>
        <v>1588</v>
      </c>
      <c r="AF11" s="693" t="str">
        <f>IF(ISNUMBER(Datos!BV11),Datos!BV11," - ")</f>
        <v xml:space="preserve"> - </v>
      </c>
      <c r="AG11" s="552" t="str">
        <f>IF(ISNUMBER(Datos!DV11),Datos!DV11," - ")</f>
        <v xml:space="preserve"> - </v>
      </c>
      <c r="AH11" s="553"/>
      <c r="AI11" s="554"/>
      <c r="AJ11" s="552">
        <f>IF(ISNUMBER(Datos!M11),Datos!M11," - ")</f>
        <v>370</v>
      </c>
      <c r="AK11" s="693">
        <f>IF(ISNUMBER(Datos!N11),Datos!N11," - ")</f>
        <v>602</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7.0080775444264951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4.8184818481848184E-2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20</v>
      </c>
      <c r="F14" s="1197">
        <f>SUBTOTAL(9,F8:F13)</f>
        <v>314</v>
      </c>
      <c r="G14" s="1197">
        <f>SUBTOTAL(9,G8:G13)</f>
        <v>314</v>
      </c>
      <c r="H14" s="1211"/>
      <c r="I14" s="1197">
        <f t="shared" ref="I14:N14" si="1">SUBTOTAL(9,I8:I13)</f>
        <v>0</v>
      </c>
      <c r="J14" s="1164">
        <f t="shared" si="1"/>
        <v>0</v>
      </c>
      <c r="K14" s="1211">
        <f t="shared" si="1"/>
        <v>0</v>
      </c>
      <c r="L14" s="1211">
        <f t="shared" si="1"/>
        <v>0</v>
      </c>
      <c r="M14" s="1211">
        <f t="shared" si="1"/>
        <v>0</v>
      </c>
      <c r="N14" s="1211">
        <f t="shared" si="1"/>
        <v>1637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183</v>
      </c>
      <c r="Z14" s="1210">
        <f t="shared" si="3"/>
        <v>3061</v>
      </c>
      <c r="AA14" s="1199">
        <f t="shared" si="3"/>
        <v>308</v>
      </c>
      <c r="AB14" s="1199">
        <f t="shared" si="3"/>
        <v>0</v>
      </c>
      <c r="AC14" s="1199">
        <f t="shared" si="3"/>
        <v>0</v>
      </c>
      <c r="AD14" s="1199">
        <f t="shared" si="3"/>
        <v>0</v>
      </c>
      <c r="AE14" s="1199">
        <f t="shared" si="3"/>
        <v>31796</v>
      </c>
      <c r="AF14" s="1211">
        <f t="shared" si="3"/>
        <v>0</v>
      </c>
      <c r="AG14" s="1211">
        <f t="shared" si="3"/>
        <v>0</v>
      </c>
      <c r="AH14" s="1211">
        <f t="shared" si="3"/>
        <v>0</v>
      </c>
      <c r="AI14" s="1211">
        <f t="shared" si="3"/>
        <v>0</v>
      </c>
      <c r="AJ14" s="1211">
        <f t="shared" si="3"/>
        <v>2199</v>
      </c>
      <c r="AK14" s="1211">
        <f t="shared" si="3"/>
        <v>3755</v>
      </c>
      <c r="AL14" s="1211">
        <f t="shared" si="3"/>
        <v>0</v>
      </c>
      <c r="AM14" s="1211">
        <f t="shared" si="3"/>
        <v>0</v>
      </c>
      <c r="AN14" s="1211">
        <f t="shared" si="3"/>
        <v>0</v>
      </c>
      <c r="AO14" s="1203">
        <f>IF(ISNUMBER(((NºAsuntos!I14/NºAsuntos!G14)*11)/factor_trimestre),((NºAsuntos!I14/NºAsuntos!G14)*11)/factor_trimestre," - ")</f>
        <v>11.767769176636174</v>
      </c>
      <c r="AP14" s="1213" t="str">
        <f>IF(ISNUMBER(Datos!CI14/Datos!CJ14),Datos!CI14/Datos!CJ14," - ")</f>
        <v xml:space="preserve"> - </v>
      </c>
      <c r="AQ14" s="1236">
        <f t="shared" ref="AQ14:AV14" si="4">SUBTOTAL(9,AQ9:AQ13)</f>
        <v>0</v>
      </c>
      <c r="AR14" s="1236">
        <f t="shared" si="4"/>
        <v>-5.6380293758424148E-2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9</v>
      </c>
      <c r="B16" s="746" t="s">
        <v>511</v>
      </c>
      <c r="C16" s="765" t="str">
        <f>Datos!A16</f>
        <v xml:space="preserve">Jdos. Instrucción                               </v>
      </c>
      <c r="D16" s="593"/>
      <c r="E16" s="1558">
        <f>IF(ISNUMBER(Datos!AQ16),Datos!AQ16," - ")</f>
        <v>9</v>
      </c>
      <c r="F16" s="543">
        <f>IF(ISNUMBER(AA16+Y16-Datos!J16-K16),AA16+Y16-Datos!J16-K16," - ")</f>
        <v>6109</v>
      </c>
      <c r="G16" s="552">
        <f>IF(ISNUMBER(IF(D_I="SI",Datos!I16,Datos!I16+Datos!AC16)),IF(D_I="SI",Datos!I16,Datos!I16+Datos!AC16)," - ")</f>
        <v>5839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197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9895</v>
      </c>
      <c r="Z16" s="805">
        <f>IF(ISNUMBER(Datos!Q16),Datos!Q16," - ")</f>
        <v>189</v>
      </c>
      <c r="AA16" s="551">
        <f>IF(ISNUMBER(IF(D_I="SI",Datos!L16,Datos!L16+Datos!AF16)),IF(D_I="SI",Datos!L16,Datos!L16+Datos!AF16)," - ")</f>
        <v>6156</v>
      </c>
      <c r="AB16" s="549"/>
      <c r="AC16" s="549"/>
      <c r="AD16" s="563"/>
      <c r="AE16" s="563">
        <f>IF(ISNUMBER(Datos!R16),Datos!R16," - ")</f>
        <v>672</v>
      </c>
      <c r="AF16" s="693" t="str">
        <f>IF(ISNUMBER(Datos!BV16),Datos!BV16," - ")</f>
        <v xml:space="preserve"> - </v>
      </c>
      <c r="AG16" s="552"/>
      <c r="AH16" s="553"/>
      <c r="AI16" s="554"/>
      <c r="AJ16" s="552">
        <f>IF(ISNUMBER(Datos!M16),Datos!M16," - ")</f>
        <v>812</v>
      </c>
      <c r="AK16" s="693">
        <f>IF(ISNUMBER(Datos!N16),Datos!N16," - ")</f>
        <v>6286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1.8663971702880244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2</v>
      </c>
      <c r="B18" s="746" t="s">
        <v>511</v>
      </c>
      <c r="C18" s="747" t="str">
        <f>Datos!A18</f>
        <v>Jdos. Violencia contra la mujer</v>
      </c>
      <c r="D18" s="601"/>
      <c r="E18" s="1558">
        <f>IF(ISNUMBER(Datos!AQ18),Datos!AQ18," - ")</f>
        <v>2</v>
      </c>
      <c r="F18" s="552" t="str">
        <f>IF(ISNUMBER(AA18+Y18-I18-K18),AA18+Y18-I18-K18," - ")</f>
        <v xml:space="preserve"> - </v>
      </c>
      <c r="G18" s="843">
        <f>IF(ISNUMBER(IF(D_I="SI",Datos!I18,Datos!I18+Datos!AC18)),IF(D_I="SI",Datos!I18,Datos!I18+Datos!AC18)," - ")</f>
        <v>227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1041</v>
      </c>
      <c r="Z18" s="805">
        <f>IF(ISNUMBER(Datos!Q18),Datos!Q18," - ")</f>
        <v>5</v>
      </c>
      <c r="AA18" s="551">
        <f>IF(ISNUMBER(Datos!L18),Datos!L18,"-")</f>
        <v>248</v>
      </c>
      <c r="AB18" s="549"/>
      <c r="AC18" s="549"/>
      <c r="AD18" s="563"/>
      <c r="AE18" s="563">
        <f>IF(ISNUMBER(Datos!R18),Datos!R18," - ")</f>
        <v>22</v>
      </c>
      <c r="AF18" s="693" t="str">
        <f>IF(ISNUMBER(Datos!BV18),Datos!BV18," - ")</f>
        <v xml:space="preserve"> - </v>
      </c>
      <c r="AG18" s="552" t="str">
        <f>IF(ISNUMBER(Datos!DV18),Datos!DV18," - ")</f>
        <v xml:space="preserve"> - </v>
      </c>
      <c r="AH18" s="553"/>
      <c r="AI18" s="554"/>
      <c r="AJ18" s="552">
        <f>IF(ISNUMBER(Datos!M18),Datos!M18," - ")</f>
        <v>123</v>
      </c>
      <c r="AK18" s="693">
        <f>IF(ISNUMBER(Datos!N18),Datos!N18," - ")</f>
        <v>790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0.71469740634005763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11</v>
      </c>
      <c r="F23" s="1197">
        <f>SUBTOTAL(9,F16:F22)</f>
        <v>6109</v>
      </c>
      <c r="G23" s="1197">
        <f>SUBTOTAL(9,G16:G22)</f>
        <v>6066</v>
      </c>
      <c r="H23" s="1240">
        <f>SUBTOTAL(9,H16:H22)</f>
        <v>0</v>
      </c>
      <c r="I23" s="1217">
        <f>SUBTOTAL(9,I16:I22)</f>
        <v>0</v>
      </c>
      <c r="J23" s="1164">
        <f>SUBTOTAL(9,J15:J22)</f>
        <v>0</v>
      </c>
      <c r="K23" s="1240">
        <f t="shared" ref="K23:S23" si="5">SUBTOTAL(9,K16:K22)</f>
        <v>0</v>
      </c>
      <c r="L23" s="1240">
        <f t="shared" si="5"/>
        <v>0</v>
      </c>
      <c r="M23" s="1240">
        <f t="shared" si="5"/>
        <v>0</v>
      </c>
      <c r="N23" s="1240">
        <f t="shared" si="5"/>
        <v>201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10936</v>
      </c>
      <c r="Z23" s="1240">
        <f t="shared" si="6"/>
        <v>194</v>
      </c>
      <c r="AA23" s="1240">
        <f t="shared" si="6"/>
        <v>6404</v>
      </c>
      <c r="AB23" s="1240">
        <f t="shared" si="6"/>
        <v>0</v>
      </c>
      <c r="AC23" s="1240">
        <f t="shared" si="6"/>
        <v>0</v>
      </c>
      <c r="AD23" s="1240">
        <f t="shared" si="6"/>
        <v>0</v>
      </c>
      <c r="AE23" s="1240">
        <f t="shared" si="6"/>
        <v>694</v>
      </c>
      <c r="AF23" s="1240">
        <f t="shared" si="6"/>
        <v>0</v>
      </c>
      <c r="AG23" s="1240">
        <f t="shared" si="6"/>
        <v>0</v>
      </c>
      <c r="AH23" s="1240">
        <f t="shared" si="6"/>
        <v>0</v>
      </c>
      <c r="AI23" s="1240">
        <f t="shared" si="6"/>
        <v>0</v>
      </c>
      <c r="AJ23" s="1240">
        <f t="shared" si="6"/>
        <v>935</v>
      </c>
      <c r="AK23" s="1240">
        <f t="shared" si="6"/>
        <v>7076</v>
      </c>
      <c r="AL23" s="1240">
        <f t="shared" si="6"/>
        <v>0</v>
      </c>
      <c r="AM23" s="1240">
        <f t="shared" si="6"/>
        <v>0</v>
      </c>
      <c r="AN23" s="1240">
        <f t="shared" si="6"/>
        <v>0</v>
      </c>
      <c r="AO23" s="1242">
        <f>IF(ISNUMBER(((NºAsuntos!I23/NºAsuntos!G23)*11)/factor_trimestre),((NºAsuntos!I23/NºAsuntos!G23)*11)/factor_trimestre," - ")</f>
        <v>1.7567666422823702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31</v>
      </c>
      <c r="F31" s="1117">
        <f t="shared" si="12"/>
        <v>6423</v>
      </c>
      <c r="G31" s="1117">
        <f t="shared" si="12"/>
        <v>6380</v>
      </c>
      <c r="H31" s="1118">
        <f t="shared" si="12"/>
        <v>0</v>
      </c>
      <c r="I31" s="1117">
        <f t="shared" si="12"/>
        <v>0</v>
      </c>
      <c r="J31" s="1119">
        <f t="shared" si="12"/>
        <v>0</v>
      </c>
      <c r="K31" s="1117">
        <f t="shared" si="12"/>
        <v>0</v>
      </c>
      <c r="L31" s="1120">
        <f t="shared" si="12"/>
        <v>0</v>
      </c>
      <c r="M31" s="1117">
        <f t="shared" si="12"/>
        <v>0</v>
      </c>
      <c r="N31" s="1118">
        <f t="shared" si="12"/>
        <v>1838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11119</v>
      </c>
      <c r="Z31" s="1124">
        <f t="shared" si="13"/>
        <v>3255</v>
      </c>
      <c r="AA31" s="1125">
        <f t="shared" si="13"/>
        <v>6712</v>
      </c>
      <c r="AB31" s="1125">
        <f t="shared" si="13"/>
        <v>0</v>
      </c>
      <c r="AC31" s="1125">
        <f t="shared" si="13"/>
        <v>0</v>
      </c>
      <c r="AD31" s="1126">
        <f t="shared" si="13"/>
        <v>0</v>
      </c>
      <c r="AE31" s="1126">
        <f t="shared" si="13"/>
        <v>32490</v>
      </c>
      <c r="AF31" s="1127">
        <f t="shared" si="13"/>
        <v>0</v>
      </c>
      <c r="AG31" s="1128">
        <f t="shared" si="13"/>
        <v>0</v>
      </c>
      <c r="AH31" s="1129">
        <f t="shared" si="13"/>
        <v>0</v>
      </c>
      <c r="AI31" s="1127">
        <f t="shared" si="13"/>
        <v>0</v>
      </c>
      <c r="AJ31" s="1117">
        <f t="shared" si="13"/>
        <v>3134</v>
      </c>
      <c r="AK31" s="1117">
        <f t="shared" si="13"/>
        <v>10831</v>
      </c>
      <c r="AL31" s="1117">
        <f t="shared" si="13"/>
        <v>0</v>
      </c>
      <c r="AM31" s="1130">
        <f t="shared" si="13"/>
        <v>0</v>
      </c>
      <c r="AN31" s="1120">
        <f>IF(ISNUMBER(Datos!K31/Datos!J31),Datos!K31/Datos!J31," - ")</f>
        <v>0.92428614068251913</v>
      </c>
      <c r="AO31" s="1120">
        <f>IF(ISNUMBER(FIND("06",Criterios!A8,1)),(IF(ISNUMBER(((Datos!R31/Datos!Q31)*11)/factor_trimestre),((Datos!R31/Datos!Q31)*11)/factor_trimestre," - ")),(IF(ISNUMBER(((Datos!L31/Datos!K31)*11)/factor_trimestre),((Datos!L31/Datos!K31)*11)/factor_trimestre," - ")))</f>
        <v>6.3040365984930027</v>
      </c>
      <c r="AP31" s="1131" t="str">
        <f>IF(ISNUMBER(Datos!CI31/Datos!CJ31),Datos!CI31/Datos!CJ31," - ")</f>
        <v xml:space="preserve"> - </v>
      </c>
      <c r="AQ31" s="1131">
        <f>IF(OR(ISNUMBER(FIND("01",Criterios!A8,1)),ISNUMBER(FIND("02",Criterios!A8,1)),ISNUMBER(FIND("03",Criterios!A8,1)),ISNUMBER(FIND("04",Criterios!A8,1))),(J31-Y31+K31)/(F31-K31),(I31-Y31+K31)/(F31-K31))</f>
        <v>-1.7311225284135139</v>
      </c>
      <c r="AR31" s="1131">
        <f>IF(ISNUMBER((Datos!P31-Datos!Q31+O31)/(Datos!R31-Datos!P31+Datos!Q31-O31)),(Datos!P31-Datos!Q31+O31)/(Datos!R31-Datos!P31+Datos!Q31-O31)," - ")</f>
        <v>-4.179078066475949E-2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1822.8571428571429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3076.8057462244833</v>
      </c>
      <c r="G33" s="674">
        <f>IF(ISNUMBER(STDEV(G8:G30)),STDEV(G8:G30),"-")</f>
        <v>2824.8699337946769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817.05004606681086</v>
      </c>
      <c r="AK33" s="276"/>
      <c r="AL33" s="276">
        <f>IF(ISNUMBER(STDEV(AL8:AL30)),STDEV(AL8:AL30),"-")</f>
        <v>0</v>
      </c>
      <c r="AM33" s="278">
        <f>IF(ISNUMBER(STDEV(AM8:AM30)),STDEV(AM8:AM30),"-")</f>
        <v>0</v>
      </c>
      <c r="AN33" s="660">
        <f>IF(ISNUMBER(STDEV(AN8:AN30)),STDEV(AN8:AN30),"-")</f>
        <v>0</v>
      </c>
      <c r="AO33" s="661">
        <f>IF(ISNUMBER(STDEV(AO8:AO30)),STDEV(AO8:AO30),"-")</f>
        <v>4.8970404399729635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Gz/MxkWUXG6f3CBpHDG4MfrNpu5xvt/+iYbTAVhE/Sa9vdQRg+AJtCp348rNql2i1FoIkl6hc7NhH1y3jSvDQ==" saltValue="T8sDpujqtqYI8pEt9JjTM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xFOwrNEhI/UzW8PVysezlEG+Y5q2j3jIKMA11J0hvUsl56EsOt+gqLPM9xC03Ni+RWLRvJ6NO+9WYXo8r11AQ==" saltValue="g5cH6X+kLPnO3Q64CloU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rEmP7xNHIRPuLKCRz3ATGFVXFyQXhCf6eEXL4A+x5G4k6DTkaLzY7kvQqpYAbHIsiO1GBWz0CQZCJSAg7hU5g==" saltValue="2c+4jxU9738tre4ExB+Js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REGION DE MURCIA</v>
      </c>
      <c r="F1" s="856"/>
    </row>
    <row r="2" spans="1:75" ht="16.5" customHeight="1">
      <c r="C2" s="567" t="str">
        <f>Criterios!A10 &amp;"  "&amp;Criterios!B10 &amp; "  " &amp; IF(NOT(ISBLANK(Criterios!A11)),Criterios!A11 &amp;"  "&amp;Criterios!B11,"")</f>
        <v>Provincias  MURCIA  Resumenes por Partidos Judiciales  MURCIA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0.25791695988740326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0.1823748313194016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iBoe4N6ySpmxaqqvAdddmcXe78iZodJznp1a6hK52l/UNx97ccjYc00fcWkmcpemJK1QQPrFJ3X85Nx8ecXUg==" saltValue="FXs/LxjZpUUNonpfrK6Gl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wF5yC+7X4pdyiy4zWqb86rn1igcwc2aVuLW0BbGWXQnxNG6BsYjFYDfFI365EGA2sHtuHDHYRx9gxpfCnQapg==" saltValue="+H3W80BIN0wkcVuoe8kM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REGION DE MURCIA</v>
      </c>
      <c r="C2" s="436"/>
      <c r="D2" s="436"/>
      <c r="E2" s="436"/>
      <c r="F2" s="436"/>
    </row>
    <row r="3" spans="1:14" ht="19.5">
      <c r="A3" s="438" t="s">
        <v>159</v>
      </c>
      <c r="B3" s="439" t="str">
        <f>Criterios!A10 &amp;"  "&amp;Criterios!B10</f>
        <v>Provincias  MURCIA</v>
      </c>
      <c r="D3" s="436"/>
      <c r="E3" s="436"/>
      <c r="F3" s="436"/>
    </row>
    <row r="4" spans="1:14" ht="13.5" thickBot="1">
      <c r="A4" s="436"/>
      <c r="B4" s="439" t="str">
        <f>Criterios!A11 &amp;"  "&amp;Criterios!B11</f>
        <v>Resumenes por Partidos Judiciales  MURCIA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14</v>
      </c>
      <c r="C9" s="451">
        <f>IF(ISNUMBER(IF(J_V="SI",Datos!I9,Datos!I9+Datos!Y9)),IF(J_V="SI",Datos!I9,Datos!I9+Datos!Y9)," - ")</f>
        <v>28885</v>
      </c>
      <c r="D9" s="452">
        <f>IF(ISNUMBER(C9/Datos!BH9),C9/Datos!BH9," - ")</f>
        <v>2063.2142857142858</v>
      </c>
      <c r="E9" s="451">
        <f>IF(ISNUMBER(IF(J_V="SI",Datos!J9,Datos!J9+Datos!Z9)),IF(J_V="SI",Datos!J9,Datos!J9+Datos!Z9)," - ")</f>
        <v>8467</v>
      </c>
      <c r="F9" s="452">
        <f>IF(ISNUMBER(E9/B9),E9/B9," - ")</f>
        <v>604.78571428571433</v>
      </c>
      <c r="G9" s="451">
        <f>IF(ISNUMBER(IF(J_V="SI",Datos!K9,Datos!K9+Datos!AA9)),IF(J_V="SI",Datos!K9,Datos!K9+Datos!AA9)," - ")</f>
        <v>7105</v>
      </c>
      <c r="H9" s="452">
        <f>IF(ISNUMBER(G9/B9),G9/B9," - ")</f>
        <v>507.5</v>
      </c>
      <c r="I9" s="451">
        <f>IF(ISNUMBER(IF(J_V="SI",Datos!L9,Datos!L9+Datos!AB9)),IF(J_V="SI",Datos!L9,Datos!L9+Datos!AB9)," - ")</f>
        <v>30244</v>
      </c>
      <c r="J9" s="452">
        <f>IF(ISNUMBER(I9/B9),I9/B9," - ")</f>
        <v>2160.2857142857142</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2</v>
      </c>
      <c r="C10" s="451">
        <f>IF(ISNUMBER(Datos!I10),Datos!I10," - ")</f>
        <v>314</v>
      </c>
      <c r="D10" s="452">
        <f>IF(ISNUMBER(C10/Datos!BH10),C10/Datos!BH10," - ")</f>
        <v>157</v>
      </c>
      <c r="E10" s="451">
        <f>IF(ISNUMBER(Datos!J10),Datos!J10," - ")</f>
        <v>177</v>
      </c>
      <c r="F10" s="452">
        <f>IF(ISNUMBER(E10/B10),E10/B10," - ")</f>
        <v>88.5</v>
      </c>
      <c r="G10" s="451">
        <f>IF(ISNUMBER(Datos!K10),Datos!K10," - ")</f>
        <v>183</v>
      </c>
      <c r="H10" s="452">
        <f>IF(ISNUMBER(G10/B10),G10/B10," - ")</f>
        <v>91.5</v>
      </c>
      <c r="I10" s="451">
        <f>IF(ISNUMBER(Datos!L10),Datos!L10," - ")</f>
        <v>308</v>
      </c>
      <c r="J10" s="452">
        <f>IF(ISNUMBER(I10/B10),I10/B10," - ")</f>
        <v>154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4</v>
      </c>
      <c r="C11" s="451">
        <f>IF(ISNUMBER(IF(J_V="SI",Datos!I11,Datos!I11+Datos!Y11)),IF(J_V="SI",Datos!I11,Datos!I11+Datos!Y11)," - ")</f>
        <v>2765</v>
      </c>
      <c r="D11" s="452">
        <f>IF(ISNUMBER(C11/Datos!BH11),C11/Datos!BH11," - ")</f>
        <v>921.66666666666663</v>
      </c>
      <c r="E11" s="451">
        <f>IF(ISNUMBER(IF(J_V="SI",Datos!J11,Datos!J11+Datos!Z11)),IF(J_V="SI",Datos!J11,Datos!J11+Datos!Z11)," - ")</f>
        <v>1365</v>
      </c>
      <c r="F11" s="452">
        <f>IF(ISNUMBER(E11/B11),E11/B11," - ")</f>
        <v>341.25</v>
      </c>
      <c r="G11" s="451">
        <f>IF(ISNUMBER(IF(J_V="SI",Datos!K11,Datos!K11+Datos!AA11)),IF(J_V="SI",Datos!K11,Datos!K11+Datos!AA11)," - ")</f>
        <v>1238</v>
      </c>
      <c r="H11" s="452">
        <f>IF(ISNUMBER(G11/B11),G11/B11," - ")</f>
        <v>309.5</v>
      </c>
      <c r="I11" s="451">
        <f>IF(ISNUMBER(IF(J_V="SI",Datos!L11,Datos!L11+Datos!AB11)),IF(J_V="SI",Datos!L11,Datos!L11+Datos!AB11)," - ")</f>
        <v>2892</v>
      </c>
      <c r="J11" s="452">
        <f>IF(ISNUMBER(I11/B11),I11/B11," - ")</f>
        <v>723</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20</v>
      </c>
      <c r="C14" s="1146">
        <f>SUBTOTAL(9,C8:C13)</f>
        <v>31964</v>
      </c>
      <c r="D14" s="1147" t="str">
        <f>IF(ISNUMBER(C14/Datos!BI14),C14/Datos!BI14," - ")</f>
        <v xml:space="preserve"> - </v>
      </c>
      <c r="E14" s="1146">
        <f>SUBTOTAL(9,E8:E13)</f>
        <v>10009</v>
      </c>
      <c r="F14" s="1147">
        <f>IF(ISNUMBER(E14/B14),E14/B14," - ")</f>
        <v>500.45</v>
      </c>
      <c r="G14" s="1146">
        <f>SUBTOTAL(9,G8:G13)</f>
        <v>8526</v>
      </c>
      <c r="H14" s="1147">
        <f>IF(ISNUMBER(G14/B14),G14/B14," - ")</f>
        <v>426.3</v>
      </c>
      <c r="I14" s="1146">
        <f>SUBTOTAL(9,I8:I13)</f>
        <v>33444</v>
      </c>
      <c r="J14" s="1147">
        <f>IF(ISNUMBER(I14/B14),I14/B14," - ")</f>
        <v>1672.2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9</v>
      </c>
      <c r="C16" s="451">
        <f>IF(ISNUMBER(IF(D_I="SI",Datos!I16,Datos!I16+Datos!AC16)),IF(D_I="SI",Datos!I16,Datos!I16+Datos!AC16)," - ")</f>
        <v>5839</v>
      </c>
      <c r="D16" s="452">
        <f>IF(ISNUMBER(C16/Datos!BH16),C16/Datos!BH16," - ")</f>
        <v>648.77777777777783</v>
      </c>
      <c r="E16" s="451">
        <f>IF(ISNUMBER(IF(D_I="SI",Datos!J16,Datos!J16+Datos!AD16)),IF(D_I="SI",Datos!J16,Datos!J16+Datos!AD16)," - ")</f>
        <v>9942</v>
      </c>
      <c r="F16" s="452">
        <f>IF(ISNUMBER(E16/B16),E16/B16," - ")</f>
        <v>1104.6666666666667</v>
      </c>
      <c r="G16" s="451">
        <f>IF(ISNUMBER(IF(D_I="SI",Datos!K16,Datos!K16+Datos!AE16)),IF(D_I="SI",Datos!K16,Datos!K16+Datos!AE16)," - ")</f>
        <v>9895</v>
      </c>
      <c r="H16" s="452">
        <f>IF(ISNUMBER(G16/B16),G16/B16," - ")</f>
        <v>1099.4444444444443</v>
      </c>
      <c r="I16" s="451">
        <f>IF(ISNUMBER(IF(D_I="SI",Datos!L16,Datos!L16+Datos!AF16)),IF(D_I="SI",Datos!L16,Datos!L16+Datos!AF16)," - ")</f>
        <v>6156</v>
      </c>
      <c r="J16" s="452">
        <f>IF(ISNUMBER(I16/B16),I16/B16," - ")</f>
        <v>684</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2</v>
      </c>
      <c r="C18" s="451">
        <f>IF(ISNUMBER(IF(D_I="SI",Datos!I18,Datos!I18+Datos!AC18)),IF(D_I="SI",Datos!I18,Datos!I18+Datos!AC18)," - ")</f>
        <v>227</v>
      </c>
      <c r="D18" s="452">
        <f>IF(ISNUMBER(C18/Datos!BH18),C18/Datos!BH18," - ")</f>
        <v>113.5</v>
      </c>
      <c r="E18" s="451">
        <f>IF(ISNUMBER(IF(D_I="SI",Datos!J18,Datos!J18+Datos!AD18)),IF(D_I="SI",Datos!J18,Datos!J18+Datos!AD18)," - ")</f>
        <v>1061</v>
      </c>
      <c r="F18" s="452">
        <f>IF(ISNUMBER(E18/B18),E18/B18," - ")</f>
        <v>530.5</v>
      </c>
      <c r="G18" s="451">
        <f>IF(ISNUMBER(IF(D_I="SI",Datos!K18,Datos!K18+Datos!AE18)),IF(D_I="SI",Datos!K18,Datos!K18+Datos!AE18)," - ")</f>
        <v>1041</v>
      </c>
      <c r="H18" s="452">
        <f>IF(ISNUMBER(G18/B18),G18/B18," - ")</f>
        <v>520.5</v>
      </c>
      <c r="I18" s="451">
        <f>IF(ISNUMBER(IF(D_I="SI",Datos!L18,Datos!L18+Datos!AF18)),IF(D_I="SI",Datos!L18,Datos!L18+Datos!AF18)," - ")</f>
        <v>248</v>
      </c>
      <c r="J18" s="452">
        <f>IF(ISNUMBER(I18/B18),I18/B18," - ")</f>
        <v>124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11</v>
      </c>
      <c r="C23" s="1146">
        <f>SUBTOTAL(9,C15:C22)</f>
        <v>6066</v>
      </c>
      <c r="D23" s="1147" t="str">
        <f>IF(ISNUMBER(C23/Datos!BI23),C23/Datos!BI23," - ")</f>
        <v xml:space="preserve"> - </v>
      </c>
      <c r="E23" s="1146">
        <f>SUBTOTAL(9,E15:E22)</f>
        <v>11003</v>
      </c>
      <c r="F23" s="1147">
        <f>IF(ISNUMBER(E23/B23),E23/B23," - ")</f>
        <v>1000.2727272727273</v>
      </c>
      <c r="G23" s="1146">
        <f>SUBTOTAL(9,G15:G22)</f>
        <v>10936</v>
      </c>
      <c r="H23" s="1147">
        <f>IF(ISNUMBER(G23/B23),G23/B23," - ")</f>
        <v>994.18181818181813</v>
      </c>
      <c r="I23" s="1146">
        <f>SUBTOTAL(9,I15:I22)</f>
        <v>6404</v>
      </c>
      <c r="J23" s="1147">
        <f>IF(ISNUMBER(I23/B23),I23/B23," - ")</f>
        <v>582.18181818181813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29</v>
      </c>
      <c r="C31" s="1084">
        <f>SUBTOTAL(9,C9:C30)</f>
        <v>38030</v>
      </c>
      <c r="D31" s="1085" t="str">
        <f>IF(ISNUMBER(C31/Datos!BI31),C31/Datos!BI31," - ")</f>
        <v xml:space="preserve"> - </v>
      </c>
      <c r="E31" s="1084">
        <f>SUBTOTAL(9,E9:E30)</f>
        <v>21012</v>
      </c>
      <c r="F31" s="1085">
        <f>IF(ISNUMBER(E31/B31),E31/B31," - ")</f>
        <v>724.55172413793105</v>
      </c>
      <c r="G31" s="1084">
        <f>SUBTOTAL(9,G9:G30)</f>
        <v>19462</v>
      </c>
      <c r="H31" s="1085">
        <f>IF(ISNUMBER(G31/B31),G31/B31," - ")</f>
        <v>671.10344827586209</v>
      </c>
      <c r="I31" s="1084">
        <f>SUBTOTAL(9,I9:I30)</f>
        <v>39848</v>
      </c>
      <c r="J31" s="1085">
        <f>IF(ISNUMBER(I31/B31),I31/B31," - ")</f>
        <v>1374.0689655172414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EoU3+7kuoDShYhJSLXsVvshUNiVVKgQja/W+rR6t2ZMk2CfsgvnK1nfPfOVkwF5XTNsRfZBZzWdVP4xtf4WrQQ==" saltValue="XNImOBpma/eJ8YzXtNC88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REGION DE MURCIA</v>
      </c>
      <c r="F1" s="856"/>
      <c r="W1"/>
      <c r="X1"/>
      <c r="BE1" s="856"/>
    </row>
    <row r="2" spans="1:65" ht="16.5" customHeight="1">
      <c r="C2" s="567" t="str">
        <f>Criterios!A10 &amp;"  "&amp;Criterios!B10 &amp; "  " &amp; IF(NOT(ISBLANK(Criterios!A11)),Criterios!A11 &amp;"  "&amp;Criterios!B11,"")</f>
        <v>Provincias  MURCIA  Resumenes por Partidos Judiciales  MURCIA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14</v>
      </c>
      <c r="B9" s="745" t="s">
        <v>321</v>
      </c>
      <c r="C9" s="765" t="str">
        <f>Datos!A9</f>
        <v xml:space="preserve">Jdos. 1ª Instancia   </v>
      </c>
      <c r="D9" s="593"/>
      <c r="E9" s="904">
        <f>IF(ISNUMBER(Datos!AQ9),Datos!AQ9," - ")</f>
        <v>14</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2</v>
      </c>
      <c r="B10" s="746" t="s">
        <v>321</v>
      </c>
      <c r="C10" s="747" t="str">
        <f>Datos!A10</f>
        <v>Jdos. Violencia contra la mujer</v>
      </c>
      <c r="D10" s="601"/>
      <c r="E10" s="904">
        <f>IF(ISNUMBER(Datos!AQ10),Datos!AQ10," - ")</f>
        <v>2</v>
      </c>
      <c r="F10" s="905">
        <f>IF(ISNUMBER(Datos!L10+Datos!K10-Datos!J10),Datos!L10+Datos!K10-Datos!J10," - ")</f>
        <v>314</v>
      </c>
      <c r="G10" s="906">
        <f>IF(ISNUMBER(Datos!I10),Datos!I10," - ")</f>
        <v>314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183</v>
      </c>
      <c r="AC10" s="905" t="str">
        <f>IF(ISNUMBER(IF(D_I="SI",DatosP!K18,DatosP!K18+DatosP!AE18)),IF(D_I="SI",DatosP!K18,DatosP!K18+DatosP!AE18)," - ")</f>
        <v xml:space="preserve"> - </v>
      </c>
      <c r="AD10" s="907"/>
      <c r="AE10" s="907"/>
      <c r="AF10" s="910">
        <f>IF(ISNUMBER(Datos!L10),Datos!L10,"-")</f>
        <v>308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45</v>
      </c>
      <c r="AM10" s="914">
        <f>IF(ISNUMBER(Datos!N10+DatosP!N18),Datos!N10+DatosP!N18," - ")</f>
        <v>115</v>
      </c>
      <c r="AN10" s="914">
        <f>IF(ISNUMBER(Datos!BW10+DatosP!BW18),Datos!BW10+DatosP!BW18," - ")</f>
        <v>0</v>
      </c>
      <c r="AO10" s="915">
        <f>IF(ISNUMBER(Datos!BX10+DatosP!BX18),Datos!BX10+DatosP!BX18," - ")</f>
        <v>0</v>
      </c>
      <c r="AP10" s="917">
        <f>IF(ISNUMBER(((Datos!L10/Datos!K10)*11)/factor_trimestre),((Datos!L10/Datos!K10)*11)/factor_trimestre," - ")</f>
        <v>5.0491803278688536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4</v>
      </c>
      <c r="B11" s="746" t="s">
        <v>321</v>
      </c>
      <c r="C11" s="747" t="str">
        <f>Datos!A11</f>
        <v xml:space="preserve">Jdos. Familia                                   </v>
      </c>
      <c r="D11" s="601"/>
      <c r="E11" s="904">
        <f>IF(ISNUMBER(Datos!AQ11),Datos!AQ11," - ")</f>
        <v>4</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20</v>
      </c>
      <c r="F14" s="1256">
        <f t="shared" si="0"/>
        <v>314</v>
      </c>
      <c r="G14" s="1256">
        <f t="shared" si="0"/>
        <v>314</v>
      </c>
      <c r="H14" s="1256">
        <f t="shared" si="0"/>
        <v>0</v>
      </c>
      <c r="I14" s="1258">
        <f t="shared" si="0"/>
        <v>0</v>
      </c>
      <c r="J14" s="1257">
        <f t="shared" si="0"/>
        <v>0</v>
      </c>
      <c r="K14" s="1257">
        <f t="shared" si="0"/>
        <v>0</v>
      </c>
      <c r="L14" s="1259">
        <f t="shared" si="0"/>
        <v>0</v>
      </c>
      <c r="M14" s="1259">
        <f t="shared" si="0"/>
        <v>0</v>
      </c>
      <c r="N14" s="1257">
        <f t="shared" si="0"/>
        <v>10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183</v>
      </c>
      <c r="AC14" s="1257">
        <f t="shared" si="1"/>
        <v>0</v>
      </c>
      <c r="AD14" s="1257">
        <f t="shared" si="1"/>
        <v>0</v>
      </c>
      <c r="AE14" s="1257">
        <f t="shared" si="1"/>
        <v>0</v>
      </c>
      <c r="AF14" s="1257">
        <f t="shared" si="1"/>
        <v>308</v>
      </c>
      <c r="AG14" s="1257">
        <f t="shared" si="1"/>
        <v>0</v>
      </c>
      <c r="AH14" s="1257">
        <f t="shared" si="1"/>
        <v>0</v>
      </c>
      <c r="AI14" s="1257">
        <f t="shared" si="1"/>
        <v>0</v>
      </c>
      <c r="AJ14" s="1257">
        <f t="shared" si="1"/>
        <v>0</v>
      </c>
      <c r="AK14" s="1257">
        <f t="shared" si="1"/>
        <v>0</v>
      </c>
      <c r="AL14" s="1257">
        <f t="shared" si="1"/>
        <v>45</v>
      </c>
      <c r="AM14" s="1257">
        <f t="shared" si="1"/>
        <v>115</v>
      </c>
      <c r="AN14" s="1257">
        <f t="shared" si="1"/>
        <v>0</v>
      </c>
      <c r="AO14" s="1257">
        <f t="shared" si="1"/>
        <v>0</v>
      </c>
      <c r="AP14" s="1262">
        <f>IF(ISNUMBER(((Datos!L14/Datos!K14)*11)/factor_trimestre),((Datos!L14/Datos!K14)*11)/factor_trimestre," - ")</f>
        <v>12.809654631083204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-0.58280254777070062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9</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2</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1.7567666422823702</v>
      </c>
      <c r="AQ23" s="1262">
        <f>IF(ISNUMBER(((Datos!M23/Datos!L23)*11)/factor_trimestre),((Datos!M23/Datos!L23)*11)/factor_trimestre," - ")</f>
        <v>0.43800749531542787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1.0189228529839884E-2</v>
      </c>
      <c r="AW23" s="1265">
        <f>IF(ISNUMBER((Datos!Q23-Datos!R23)/(Datos!S23-Datos!Q23+Datos!R23)),(Datos!Q23-Datos!R23)/(Datos!S23-Datos!Q23+Datos!R23)," - ")</f>
        <v>-8.9605734767025089E-2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20</v>
      </c>
      <c r="F31" s="1278">
        <f t="shared" si="8"/>
        <v>314</v>
      </c>
      <c r="G31" s="1278">
        <f t="shared" si="8"/>
        <v>314</v>
      </c>
      <c r="H31" s="1278">
        <f t="shared" si="8"/>
        <v>0</v>
      </c>
      <c r="I31" s="1279">
        <f t="shared" si="8"/>
        <v>0</v>
      </c>
      <c r="J31" s="1280">
        <f t="shared" si="8"/>
        <v>0</v>
      </c>
      <c r="K31" s="1280">
        <f t="shared" si="8"/>
        <v>0</v>
      </c>
      <c r="L31" s="1280">
        <f t="shared" si="8"/>
        <v>0</v>
      </c>
      <c r="M31" s="1280">
        <f t="shared" si="8"/>
        <v>0</v>
      </c>
      <c r="N31" s="1279">
        <f t="shared" si="8"/>
        <v>10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183</v>
      </c>
      <c r="AC31" s="1284">
        <f t="shared" si="9"/>
        <v>0</v>
      </c>
      <c r="AD31" s="1284">
        <f t="shared" si="9"/>
        <v>0</v>
      </c>
      <c r="AE31" s="1284">
        <f t="shared" si="9"/>
        <v>0</v>
      </c>
      <c r="AF31" s="1285">
        <f t="shared" si="9"/>
        <v>308</v>
      </c>
      <c r="AG31" s="1285">
        <f t="shared" si="9"/>
        <v>0</v>
      </c>
      <c r="AH31" s="1285">
        <f t="shared" si="9"/>
        <v>0</v>
      </c>
      <c r="AI31" s="1285">
        <f t="shared" si="9"/>
        <v>0</v>
      </c>
      <c r="AJ31" s="1286">
        <f t="shared" si="9"/>
        <v>0</v>
      </c>
      <c r="AK31" s="1286">
        <f t="shared" si="9"/>
        <v>0</v>
      </c>
      <c r="AL31" s="1278">
        <f t="shared" si="9"/>
        <v>45</v>
      </c>
      <c r="AM31" s="1278">
        <f t="shared" si="9"/>
        <v>115</v>
      </c>
      <c r="AN31" s="1278">
        <f t="shared" si="9"/>
        <v>0</v>
      </c>
      <c r="AO31" s="1278">
        <f t="shared" si="9"/>
        <v>0</v>
      </c>
      <c r="AP31" s="1278">
        <f>IF(ISNUMBER(((Datos!L31/Datos!K31)*11)/factor_trimestre),((Datos!L31/Datos!K31)*11)/factor_trimestre," - ")</f>
        <v>6.3040365984930027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-0.58280254777070062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-4.179078066475949E-2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7.4012011037248389</v>
      </c>
      <c r="F33" s="1006">
        <f>IF(ISNUMBER(STDEV(F8:F30)),STDEV(F8:F30),"-")</f>
        <v>171.98488305662215</v>
      </c>
      <c r="G33" s="1007">
        <f>IF(ISNUMBER(STDEV(G8:G30)),STDEV(G8:G30),"-")</f>
        <v>171.98488305662215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100.23322802344541</v>
      </c>
      <c r="AC33" s="1008">
        <f>IF(ISNUMBER(STDEV(AC8:AC30)),STDEV(AC8:AC30),"-")</f>
        <v>0</v>
      </c>
      <c r="AD33" s="1011"/>
      <c r="AE33" s="1011"/>
      <c r="AF33" s="1011"/>
      <c r="AG33" s="1011"/>
      <c r="AH33" s="1011"/>
      <c r="AI33" s="1011"/>
      <c r="AJ33" s="1012">
        <f>IF(ISNUMBER(STDEV(AJ8:AJ30)),STDEV(AJ8:AJ30),"-")</f>
        <v>0</v>
      </c>
      <c r="AK33" s="1014"/>
      <c r="AL33" s="1006">
        <f>IF(ISNUMBER(STDEV(AL8:AL30)),STDEV(AL8:AL30),"-")</f>
        <v>24.647515087732476</v>
      </c>
      <c r="AM33" s="1006"/>
      <c r="AN33" s="1006">
        <f>IF(ISNUMBER(STDEV(AN8:AN30)),STDEV(AN8:AN30),"-")</f>
        <v>0</v>
      </c>
      <c r="AO33" s="1012">
        <f>IF(ISNUMBER(STDEV(AO8:AO30)),STDEV(AO8:AO30),"-")</f>
        <v>0</v>
      </c>
      <c r="AP33" s="1065">
        <f>IF(ISNUMBER(STDEV(AP8:AP30)),STDEV(AP8:AP30),"-")</f>
        <v>5.6749637617178514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3MNOgG+c48FrSo0Km4DxkIfjPw2hRBKfmCi+C9KSyA8kAsx+k4m9B//ZhZFPJbPwJSD3+d/0IHlLAJPWHt/9A==" saltValue="EL9FKZUjkjMpKfDyTvW0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REGION DE MURCIA</v>
      </c>
      <c r="C2" s="436"/>
      <c r="E2" s="436"/>
      <c r="F2" s="436"/>
      <c r="G2" s="436"/>
      <c r="H2" s="436"/>
    </row>
    <row r="3" spans="1:15" ht="39">
      <c r="A3" s="463" t="s">
        <v>280</v>
      </c>
      <c r="B3" s="439" t="str">
        <f>Criterios!A10 &amp;"  "&amp;Criterios!B10</f>
        <v>Provincias  MURCIA</v>
      </c>
      <c r="C3" s="463"/>
      <c r="F3" s="436"/>
      <c r="G3" s="436"/>
      <c r="H3" s="436"/>
    </row>
    <row r="4" spans="1:15" ht="13.5" thickBot="1">
      <c r="A4" s="436"/>
      <c r="B4" s="439" t="str">
        <f>Criterios!A11 &amp;"  "&amp;Criterios!B11</f>
        <v>Resumenes por Partidos Judiciales  MURCIA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14</v>
      </c>
      <c r="D9" s="451">
        <f>Datos!BK9</f>
        <v>0</v>
      </c>
      <c r="E9" s="451">
        <f>Datos!AQ9</f>
        <v>14</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2</v>
      </c>
      <c r="D10" s="451">
        <f>Datos!BK10</f>
        <v>0</v>
      </c>
      <c r="E10" s="451">
        <f>Datos!AQ10</f>
        <v>2</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4</v>
      </c>
      <c r="D11" s="451">
        <f>Datos!BK11</f>
        <v>0</v>
      </c>
      <c r="E11" s="451">
        <f>Datos!AQ11</f>
        <v>4</v>
      </c>
      <c r="F11" s="452">
        <f>IF(ISNUMBER(E11/Datos!BH11),E11/Datos!BH11," - ")</f>
        <v>1.3333333333333333</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9</v>
      </c>
      <c r="D16" s="451">
        <f>Datos!BK16</f>
        <v>0</v>
      </c>
      <c r="E16" s="451">
        <f>Datos!AQ16</f>
        <v>9</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2</v>
      </c>
      <c r="D18" s="451">
        <f>Datos!BK18</f>
        <v>0</v>
      </c>
      <c r="E18" s="451">
        <f>Datos!AQ18</f>
        <v>2</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tPjlKnx+ulPQjK+awIDhYaW60l91cAXQYv0KTD0F/4vnWdYI34vso1F6DPEOIH2KTSW+hB74dziqMslPMri0Pw==" saltValue="AeB0ZxWzCbloTXGC1TQeF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REGION DE MURCIA</v>
      </c>
      <c r="C2" s="475"/>
      <c r="D2" s="418"/>
    </row>
    <row r="3" spans="1:9" ht="19.5">
      <c r="A3" s="476" t="s">
        <v>16</v>
      </c>
      <c r="B3" s="477" t="str">
        <f>Criterios!A10 &amp;"  "&amp;Criterios!B10</f>
        <v>Provincias  MURCIA</v>
      </c>
      <c r="C3" s="475"/>
      <c r="D3" s="476"/>
    </row>
    <row r="4" spans="1:9" ht="13.5" thickBot="1">
      <c r="B4" s="477" t="str">
        <f>Criterios!A11 &amp;"  "&amp;Criterios!B11</f>
        <v>Resumenes por Partidos Judiciales  MURCIA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14</v>
      </c>
      <c r="C9" s="458">
        <f>Datos!AQ9</f>
        <v>14</v>
      </c>
      <c r="D9" s="451">
        <f>IF(ISNUMBER(Datos!M9),Datos!M9," - ")</f>
        <v>1784</v>
      </c>
      <c r="E9" s="452">
        <f t="shared" ref="E9:E14" si="0">IF(ISNUMBER(D9/B9),D9/B9," - ")</f>
        <v>127.42857142857143</v>
      </c>
      <c r="F9" s="451">
        <f>IF(ISNUMBER(Datos!N9),Datos!N9," - ")</f>
        <v>3038</v>
      </c>
      <c r="G9" s="452">
        <f t="shared" ref="G9:G14" si="1">IF(ISNUMBER(F9/B9),F9/B9," - ")</f>
        <v>217</v>
      </c>
      <c r="H9" s="451">
        <f>IF(ISNUMBER(Datos!O9),Datos!O9," - ")</f>
        <v>3066</v>
      </c>
      <c r="I9" s="452">
        <f>IF(ISNUMBER(H9/B9),H9/B9," - ")</f>
        <v>219</v>
      </c>
    </row>
    <row r="10" spans="1:9">
      <c r="A10" s="450" t="str">
        <f>Datos!A10</f>
        <v>Jdos. Violencia contra la mujer</v>
      </c>
      <c r="B10" s="480">
        <f>Datos!AO10</f>
        <v>2</v>
      </c>
      <c r="C10" s="458">
        <f>Datos!AQ10</f>
        <v>2</v>
      </c>
      <c r="D10" s="451">
        <f>IF(ISNUMBER(Datos!M10),Datos!M10," - ")</f>
        <v>45</v>
      </c>
      <c r="E10" s="452">
        <f>IF(ISNUMBER(D10/B10),D10/B10," - ")</f>
        <v>22.5</v>
      </c>
      <c r="F10" s="451">
        <f>IF(ISNUMBER(Datos!N10),Datos!N10," - ")</f>
        <v>115</v>
      </c>
      <c r="G10" s="452">
        <f>IF(ISNUMBER(F10/B10),F10/B10," - ")</f>
        <v>57.5</v>
      </c>
      <c r="H10" s="451">
        <f>IF(ISNUMBER(Datos!O10),Datos!O10," - ")</f>
        <v>16</v>
      </c>
      <c r="I10" s="452">
        <f t="shared" ref="I10:I13" si="2">IF(ISNUMBER(H10/B10),H10/B10," - ")</f>
        <v>8</v>
      </c>
    </row>
    <row r="11" spans="1:9">
      <c r="A11" s="450" t="str">
        <f>Datos!A11</f>
        <v xml:space="preserve">Jdos. Familia                                   </v>
      </c>
      <c r="B11" s="480">
        <f>Datos!AO11</f>
        <v>4</v>
      </c>
      <c r="C11" s="458">
        <f>Datos!AQ11</f>
        <v>4</v>
      </c>
      <c r="D11" s="451">
        <f>IF(ISNUMBER(Datos!M11),Datos!M11," - ")</f>
        <v>370</v>
      </c>
      <c r="E11" s="452">
        <f t="shared" si="0"/>
        <v>92.5</v>
      </c>
      <c r="F11" s="451">
        <f>IF(ISNUMBER(Datos!N11),Datos!N11," - ")</f>
        <v>602</v>
      </c>
      <c r="G11" s="452">
        <f t="shared" si="1"/>
        <v>150.5</v>
      </c>
      <c r="H11" s="451">
        <f>IF(ISNUMBER(Datos!O11),Datos!O11," - ")</f>
        <v>411</v>
      </c>
      <c r="I11" s="452">
        <f t="shared" si="2"/>
        <v>102.75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20</v>
      </c>
      <c r="C14" s="1148">
        <f>Datos!AR14</f>
        <v>20</v>
      </c>
      <c r="D14" s="1146">
        <f>SUBTOTAL(9,D9:D13)</f>
        <v>2199</v>
      </c>
      <c r="E14" s="1147">
        <f t="shared" si="0"/>
        <v>109.95</v>
      </c>
      <c r="F14" s="1146">
        <f>SUBTOTAL(9,F9:F13)</f>
        <v>3755</v>
      </c>
      <c r="G14" s="1147">
        <f t="shared" si="1"/>
        <v>187.75</v>
      </c>
      <c r="H14" s="1146">
        <f>SUBTOTAL(9,H9:H13)</f>
        <v>3493</v>
      </c>
      <c r="I14" s="1147">
        <f>IF(ISNUMBER(H14/B14),H14/B14," - ")</f>
        <v>174.65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9</v>
      </c>
      <c r="C16" s="481">
        <f>Datos!AQ16</f>
        <v>9</v>
      </c>
      <c r="D16" s="451">
        <f>IF(ISNUMBER(Datos!M16),Datos!M16," - ")</f>
        <v>812</v>
      </c>
      <c r="E16" s="452">
        <f t="shared" ref="E16:E23" si="3">IF(ISNUMBER(D16/B16),D16/B16," - ")</f>
        <v>90.222222222222229</v>
      </c>
      <c r="F16" s="451">
        <f>IF(ISNUMBER(Datos!N16),Datos!N16," - ")</f>
        <v>6286</v>
      </c>
      <c r="G16" s="452">
        <f t="shared" ref="G16:G23" si="4">IF(ISNUMBER(F16/B16),F16/B16," - ")</f>
        <v>698.44444444444446</v>
      </c>
      <c r="H16" s="451">
        <f>IF(ISNUMBER(Datos!O16),Datos!O16," - ")</f>
        <v>107</v>
      </c>
      <c r="I16" s="452">
        <f t="shared" ref="I16:I22" si="5">IF(ISNUMBER(H16/B16),H16/B16," - ")</f>
        <v>11.888888888888889</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2</v>
      </c>
      <c r="C18" s="481">
        <f>Datos!AQ18</f>
        <v>2</v>
      </c>
      <c r="D18" s="451">
        <f>IF(ISNUMBER(Datos!M18),Datos!M18," - ")</f>
        <v>123</v>
      </c>
      <c r="E18" s="452">
        <f>IF(ISNUMBER(D18/B18),D18/B18," - ")</f>
        <v>61.5</v>
      </c>
      <c r="F18" s="451">
        <f>IF(ISNUMBER(Datos!N18),Datos!N18," - ")</f>
        <v>790</v>
      </c>
      <c r="G18" s="452">
        <f>IF(ISNUMBER(F18/B18),F18/B18," - ")</f>
        <v>395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11</v>
      </c>
      <c r="C23" s="1148">
        <f>Datos!AR23</f>
        <v>11</v>
      </c>
      <c r="D23" s="1146">
        <f>SUBTOTAL(9,D16:D22)</f>
        <v>935</v>
      </c>
      <c r="E23" s="1147">
        <f t="shared" si="3"/>
        <v>85</v>
      </c>
      <c r="F23" s="1146">
        <f>SUBTOTAL(9,F16:F22)</f>
        <v>7076</v>
      </c>
      <c r="G23" s="1147">
        <f t="shared" si="4"/>
        <v>643.27272727272725</v>
      </c>
      <c r="H23" s="1146">
        <f>SUBTOTAL(9,H16:H22)</f>
        <v>107</v>
      </c>
      <c r="I23" s="1147">
        <f>IF(ISNUMBER(H23/B23),H23/B23," - ")</f>
        <v>9.7272727272727266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29</v>
      </c>
      <c r="C31" s="1084">
        <f>Datos!AR31</f>
        <v>29</v>
      </c>
      <c r="D31" s="1084">
        <f>SUBTOTAL(9,D8:D30)</f>
        <v>3134</v>
      </c>
      <c r="E31" s="1085">
        <f>IF(ISNUMBER(D31/B31),D31/B31," - ")</f>
        <v>108.06896551724138</v>
      </c>
      <c r="F31" s="1084">
        <f>SUBTOTAL(9,F8:F30)</f>
        <v>10831</v>
      </c>
      <c r="G31" s="1085">
        <f>IF(ISNUMBER(F31/B31),F31/B31," - ")</f>
        <v>373.48275862068965</v>
      </c>
      <c r="H31" s="1084">
        <f>SUBTOTAL(9,H8:H30)</f>
        <v>3600</v>
      </c>
      <c r="I31" s="1085">
        <f>IF(ISNUMBER(H31/B31),H31/B31," - ")</f>
        <v>124.13793103448276</v>
      </c>
    </row>
    <row r="34" spans="1:1">
      <c r="A34" s="439" t="str">
        <f>Criterios!A4</f>
        <v>Fecha Informe: 06 may. 2023</v>
      </c>
    </row>
    <row r="39" spans="1:1">
      <c r="A39" s="462"/>
    </row>
  </sheetData>
  <sheetProtection algorithmName="SHA-512" hashValue="8lXkwsWczgHY5+zbjgblJ2HoSj9rVbhlx092muMUOK/A/KvnalAXqTNVD/6vDzQg0pcNwg4JVjypADoALyrDeQ==" saltValue="ibdKso5SKyuw3KwQNQnbN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REGION DE MURCIA</v>
      </c>
    </row>
    <row r="3" spans="1:4" ht="19.5">
      <c r="A3" s="484" t="s">
        <v>48</v>
      </c>
      <c r="B3" s="439" t="str">
        <f>Criterios!A10 &amp;"  "&amp;Criterios!B10</f>
        <v>Provincias  MURCIA</v>
      </c>
    </row>
    <row r="4" spans="1:4" ht="13.5" thickBot="1">
      <c r="B4" s="439" t="str">
        <f>Criterios!A11 &amp;"  "&amp;Criterios!B11</f>
        <v>Resumenes por Partidos Judiciales  MURCIA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1493</v>
      </c>
      <c r="C9" s="489">
        <f>IF(ISNUMBER(Datos!Q9),Datos!Q9," - ")</f>
        <v>2978</v>
      </c>
      <c r="D9" s="456">
        <f>IF(ISNUMBER(Datos!R9),Datos!R9," - ")</f>
        <v>30011</v>
      </c>
    </row>
    <row r="10" spans="1:4">
      <c r="A10" s="450" t="str">
        <f>Datos!A10</f>
        <v>Jdos. Violencia contra la mujer</v>
      </c>
      <c r="B10" s="488">
        <f>IF(ISNUMBER(Datos!P10),Datos!P10," - ")</f>
        <v>10</v>
      </c>
      <c r="C10" s="489">
        <f>IF(ISNUMBER(Datos!Q10),Datos!Q10," - ")</f>
        <v>22</v>
      </c>
      <c r="D10" s="456">
        <f>IF(ISNUMBER(Datos!R10),Datos!R10," - ")</f>
        <v>197</v>
      </c>
    </row>
    <row r="11" spans="1:4">
      <c r="A11" s="450" t="str">
        <f>Datos!A11</f>
        <v xml:space="preserve">Jdos. Familia                                   </v>
      </c>
      <c r="B11" s="488">
        <f>IF(ISNUMBER(Datos!P11),Datos!P11," - ")</f>
        <v>134</v>
      </c>
      <c r="C11" s="489">
        <f>IF(ISNUMBER(Datos!Q11),Datos!Q11," - ")</f>
        <v>61</v>
      </c>
      <c r="D11" s="456">
        <f>IF(ISNUMBER(Datos!R11),Datos!R11," - ")</f>
        <v>1588</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1637</v>
      </c>
      <c r="C14" s="1150">
        <f>SUBTOTAL(9,C9:C13)</f>
        <v>3061</v>
      </c>
      <c r="D14" s="1148">
        <f>SUBTOTAL(9,D9:D13)</f>
        <v>31796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197</v>
      </c>
      <c r="C16" s="489">
        <f>IF(ISNUMBER(Datos!Q16),Datos!Q16," - ")</f>
        <v>189</v>
      </c>
      <c r="D16" s="456">
        <f>IF(ISNUMBER(Datos!R16),Datos!R16," - ")</f>
        <v>672</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4</v>
      </c>
      <c r="C18" s="489">
        <f>IF(ISNUMBER(Datos!Q18),Datos!Q18," - ")</f>
        <v>5</v>
      </c>
      <c r="D18" s="456">
        <f>IF(ISNUMBER(Datos!R18),Datos!R18," - ")</f>
        <v>22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201</v>
      </c>
      <c r="C23" s="1150">
        <f>SUBTOTAL(9,C16:C22)</f>
        <v>194</v>
      </c>
      <c r="D23" s="1148">
        <f>SUBTOTAL(9,D16:D22)</f>
        <v>694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1838</v>
      </c>
      <c r="C31" s="1089">
        <f>SUBTOTAL(9,C8:C30)</f>
        <v>3255</v>
      </c>
      <c r="D31" s="1090">
        <f>SUBTOTAL(9,D8:D30)</f>
        <v>32490</v>
      </c>
    </row>
    <row r="32" spans="1:4" ht="7.5" customHeight="1"/>
    <row r="33" spans="1:1" ht="6" customHeight="1"/>
    <row r="34" spans="1:1">
      <c r="A34" s="439" t="str">
        <f>Criterios!A4</f>
        <v>Fecha Informe: 06 may. 2023</v>
      </c>
    </row>
    <row r="39" spans="1:1">
      <c r="A39" s="462"/>
    </row>
  </sheetData>
  <sheetProtection algorithmName="SHA-512" hashValue="/Phru5Q11Fy5oZiin8xEtnuFXpuAB99lX4txzE/OSrZ2BxV7Cu2QlTvqoKbKeijs2c9eCZR8jItbRxb8U/x2/w==" saltValue="90Jkqk+9lrskvqhiUxKzW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REGION DE MURCIA</v>
      </c>
    </row>
    <row r="3" spans="1:11" ht="18.75" customHeight="1">
      <c r="A3" s="484" t="s">
        <v>162</v>
      </c>
      <c r="B3" s="439" t="str">
        <f>Criterios!A10 &amp;"  "&amp;Criterios!B10</f>
        <v>Provincias  MURCIA</v>
      </c>
    </row>
    <row r="4" spans="1:11" ht="10.5" customHeight="1" thickBot="1">
      <c r="B4" s="439" t="str">
        <f>Criterios!A11 &amp;"  "&amp;Criterios!B11</f>
        <v>Resumenes por Partidos Judiciales  MURCIA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-7.8997080542675593E-3</v>
      </c>
      <c r="C9" s="515">
        <f>IF(ISNUMBER(
   IF(J_V="SI",(Datos!J9-Datos!T9)/Datos!T9,(Datos!J9+Datos!Z9-(Datos!T9+Datos!AH9))/(Datos!T9+Datos!AH9))
     ),IF(J_V="SI",(Datos!J9-Datos!T9)/Datos!T9,(Datos!J9+Datos!Z9-(Datos!T9+Datos!AH9))/(Datos!T9+Datos!AH9))," - ")</f>
        <v>0.37406686140863354</v>
      </c>
      <c r="D9" s="515">
        <f>IF(ISNUMBER(
   IF(J_V="SI",(Datos!K9-Datos!U9)/Datos!U9,(Datos!K9+Datos!AA9-(Datos!U9+Datos!AI9))/(Datos!U9+Datos!AI9))
     ),IF(J_V="SI",(Datos!K9-Datos!U9)/Datos!U9,(Datos!K9+Datos!AA9-(Datos!U9+Datos!AI9))/(Datos!U9+Datos!AI9))," - ")</f>
        <v>-2.5109769484083423E-2</v>
      </c>
      <c r="E9" s="515">
        <f>IF(ISNUMBER(
   IF(J_V="SI",(Datos!L9-Datos!V9)/Datos!V9,(Datos!L9+Datos!AB9-(Datos!V9+Datos!AJ9))/(Datos!V9+Datos!AJ9))
     ),IF(J_V="SI",(Datos!L9-Datos!V9)/Datos!V9,(Datos!L9+Datos!AB9-(Datos!V9+Datos!AJ9))/(Datos!V9+Datos!AJ9))," - ")</f>
        <v>8.025859913562168E-2</v>
      </c>
      <c r="F9" s="515">
        <f>IF(ISNUMBER((Datos!M9-Datos!W9)/Datos!W9),(Datos!M9-Datos!W9)/Datos!W9," - ")</f>
        <v>-0.18014705882352941</v>
      </c>
      <c r="G9" s="516">
        <f>IF(ISNUMBER((Datos!N9-Datos!X9)/Datos!X9),(Datos!N9-Datos!X9)/Datos!X9," - ")</f>
        <v>3.9656311962987445E-3</v>
      </c>
      <c r="H9" s="514">
        <f>IF(ISNUMBER(((NºAsuntos!G9/NºAsuntos!E9)-Datos!BD9)/Datos!BD9),((NºAsuntos!G9/NºAsuntos!E9)-Datos!BD9)/Datos!BD9," - ")</f>
        <v>-0.29050742878952662</v>
      </c>
      <c r="I9" s="515">
        <f>IF(ISNUMBER(((NºAsuntos!I9/NºAsuntos!G9)-Datos!BE9)/Datos!BE9),((NºAsuntos!I9/NºAsuntos!G9)-Datos!BE9)/Datos!BE9," - ")</f>
        <v>0.1080822900070951</v>
      </c>
      <c r="J9" s="521">
        <f>IF(ISNUMBER((('Resol  Asuntos'!D9/NºAsuntos!G9)-Datos!BF9)/Datos!BF9),(('Resol  Asuntos'!D9/NºAsuntos!G9)-Datos!BF9)/Datos!BF9," - ")</f>
        <v>-0.39525789393634247</v>
      </c>
      <c r="K9" s="522">
        <f>IF(ISNUMBER((((NºAsuntos!C9+NºAsuntos!E9)/NºAsuntos!G9)-Datos!BG9)/Datos!BG9),(((NºAsuntos!C9+NºAsuntos!E9)/NºAsuntos!G9)-Datos!BG9)/Datos!BG9," - ")</f>
        <v>8.6091706858778955E-2</v>
      </c>
    </row>
    <row r="10" spans="1:11">
      <c r="A10" s="450" t="str">
        <f>Datos!A10</f>
        <v>Jdos. Violencia contra la mujer</v>
      </c>
      <c r="B10" s="514">
        <f>IF(ISNUMBER((Datos!I10-Datos!S10)/Datos!S10),(Datos!I10-Datos!S10)/Datos!S10," - ")</f>
        <v>0.43378995433789952</v>
      </c>
      <c r="C10" s="515">
        <f>IF(ISNUMBER((Datos!J10-Datos!T10)/Datos!T10),(Datos!J10-Datos!T10)/Datos!T10," - ")</f>
        <v>0.46280991735537191</v>
      </c>
      <c r="D10" s="515">
        <f>IF(ISNUMBER((Datos!K10-Datos!U10)/Datos!U10),(Datos!K10-Datos!U10)/Datos!U10," - ")</f>
        <v>1.2048192771084338</v>
      </c>
      <c r="E10" s="515">
        <f>IF(ISNUMBER((Datos!L10-Datos!V10)/Datos!V10),(Datos!L10-Datos!V10)/Datos!V10," - ")</f>
        <v>0.19844357976653695</v>
      </c>
      <c r="F10" s="515">
        <f>IF(ISNUMBER((Datos!M10-Datos!W10)/Datos!W10),(Datos!M10-Datos!W10)/Datos!W10," - ")</f>
        <v>1.1428571428571428</v>
      </c>
      <c r="G10" s="516">
        <f>IF(ISNUMBER((Datos!N10-Datos!X10)/Datos!X10),(Datos!N10-Datos!X10)/Datos!X10," - ")</f>
        <v>1.5</v>
      </c>
      <c r="H10" s="514">
        <f>IF(ISNUMBER(((NºAsuntos!G10/NºAsuntos!E10)-Datos!BD10)/Datos!BD10),((NºAsuntos!G10/NºAsuntos!E10)-Datos!BD10)/Datos!BD10," - ")</f>
        <v>0.50724933632836411</v>
      </c>
      <c r="I10" s="515">
        <f>IF(ISNUMBER(((NºAsuntos!I10/NºAsuntos!G10)-Datos!BE10)/Datos!BE10),((NºAsuntos!I10/NºAsuntos!G10)-Datos!BE10)/Datos!BE10," - ")</f>
        <v>-0.4564436222916799</v>
      </c>
      <c r="J10" s="521">
        <f>IF(ISNUMBER((('Resol  Asuntos'!D10/NºAsuntos!G10)-Datos!BF10)/Datos!BF10),(('Resol  Asuntos'!D10/NºAsuntos!G10)-Datos!BF10)/Datos!BF10," - ")</f>
        <v>-2.8103044496487067E-2</v>
      </c>
      <c r="K10" s="522">
        <f>IF(ISNUMBER((((NºAsuntos!C10+NºAsuntos!E10)/NºAsuntos!G10)-Datos!BG10)/Datos!BG10),(((NºAsuntos!C10+NºAsuntos!E10)/NºAsuntos!G10)-Datos!BG10)/Datos!BG10," - ")</f>
        <v>-0.34501767920282872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-0.14555006180469715</v>
      </c>
      <c r="C11" s="515">
        <f>IF(ISNUMBER(
   IF(J_V="SI",(Datos!J11-Datos!T11)/Datos!T11,(Datos!J11+Datos!Z11-(Datos!T11+Datos!AH11))/(Datos!T11+Datos!AH11))
     ),IF(J_V="SI",(Datos!J11-Datos!T11)/Datos!T11,(Datos!J11+Datos!Z11-(Datos!T11+Datos!AH11))/(Datos!T11+Datos!AH11))," - ")</f>
        <v>0.15776081424936386</v>
      </c>
      <c r="D11" s="515">
        <f>IF(ISNUMBER(
   IF(J_V="SI",(Datos!K11-Datos!U11)/Datos!U11,(Datos!K11+Datos!AA11-(Datos!U11+Datos!AI11))/(Datos!U11+Datos!AI11))
     ),IF(J_V="SI",(Datos!K11-Datos!U11)/Datos!U11,(Datos!K11+Datos!AA11-(Datos!U11+Datos!AI11))/(Datos!U11+Datos!AI11))," - ")</f>
        <v>-0.11063218390804598</v>
      </c>
      <c r="E11" s="515">
        <f>IF(ISNUMBER(
   IF(J_V="SI",(Datos!L11-Datos!V11)/Datos!V11,(Datos!L11+Datos!AB11-(Datos!V11+Datos!AJ11))/(Datos!V11+Datos!AJ11))
     ),IF(J_V="SI",(Datos!L11-Datos!V11)/Datos!V11,(Datos!L11+Datos!AB11-(Datos!V11+Datos!AJ11))/(Datos!V11+Datos!AJ11))," - ")</f>
        <v>-4.3334435990737677E-2</v>
      </c>
      <c r="F11" s="515">
        <f>IF(ISNUMBER((Datos!M11-Datos!W11)/Datos!W11),(Datos!M11-Datos!W11)/Datos!W11," - ")</f>
        <v>-0.26</v>
      </c>
      <c r="G11" s="516">
        <f>IF(ISNUMBER((Datos!N11-Datos!X11)/Datos!X11),(Datos!N11-Datos!X11)/Datos!X11," - ")</f>
        <v>-3.3112582781456954E-3</v>
      </c>
      <c r="H11" s="514">
        <f>IF(ISNUMBER(((NºAsuntos!G11/NºAsuntos!E11)-Datos!BD11)/Datos!BD11),((NºAsuntos!G11/NºAsuntos!E11)-Datos!BD11)/Datos!BD11," - ")</f>
        <v>-0.23182076544145502</v>
      </c>
      <c r="I11" s="515">
        <f>IF(ISNUMBER(((NºAsuntos!I11/NºAsuntos!G11)-Datos!BE11)/Datos!BE11),((NºAsuntos!I11/NºAsuntos!G11)-Datos!BE11)/Datos!BE11," - ")</f>
        <v>7.566919636582653E-2</v>
      </c>
      <c r="J11" s="521">
        <f>IF(ISNUMBER((('Resol  Asuntos'!D11/NºAsuntos!G11)-Datos!BF11)/Datos!BF11),(('Resol  Asuntos'!D11/NºAsuntos!G11)-Datos!BF11)/Datos!BF11," - ")</f>
        <v>-0.31121548320833647</v>
      </c>
      <c r="K11" s="522">
        <f>IF(ISNUMBER((((NºAsuntos!C11+NºAsuntos!E11)/NºAsuntos!G11)-Datos!BG11)/Datos!BG11),(((NºAsuntos!C11+NºAsuntos!E11)/NºAsuntos!G11)-Datos!BG11)/Datos!BG11," - ")</f>
        <v>5.1811547137914742E-2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-1.8606079214000613E-2</v>
      </c>
      <c r="C14" s="1152">
        <f>IF(ISNUMBER(
   IF(J_V="SI",(Datos!J14-Datos!T14)/Datos!T14,(Datos!J14+Datos!Z14-(Datos!T14+Datos!AH14))/(Datos!T14+Datos!AH14))
     ),IF(J_V="SI",(Datos!J14-Datos!T14)/Datos!T14,(Datos!J14+Datos!Z14-(Datos!T14+Datos!AH14))/(Datos!T14+Datos!AH14))," - ")</f>
        <v>0.34132940230501208</v>
      </c>
      <c r="D14" s="1152">
        <f>IF(ISNUMBER(
   IF(J_V="SI",(Datos!K14-Datos!U14)/Datos!U14,(Datos!K14+Datos!AA14-(Datos!U14+Datos!AI14))/(Datos!U14+Datos!AI14))
     ),IF(J_V="SI",(Datos!K14-Datos!U14)/Datos!U14,(Datos!K14+Datos!AA14-(Datos!U14+Datos!AI14))/(Datos!U14+Datos!AI14))," - ")</f>
        <v>-2.7045532351934271E-2</v>
      </c>
      <c r="E14" s="1152">
        <f>IF(ISNUMBER(
   IF(J_V="SI",(Datos!L14-Datos!V14)/Datos!V14,(Datos!L14+Datos!AB14-(Datos!V14+Datos!AJ14))/(Datos!V14+Datos!AJ14))
     ),IF(J_V="SI",(Datos!L14-Datos!V14)/Datos!V14,(Datos!L14+Datos!AB14-(Datos!V14+Datos!AJ14))/(Datos!V14+Datos!AJ14))," - ")</f>
        <v>6.9284138504332252E-2</v>
      </c>
      <c r="F14" s="1153">
        <f>IF(ISNUMBER((Datos!M14-Datos!W14)/Datos!W14),(Datos!M14-Datos!W14)/Datos!W14," - ")</f>
        <v>-0.18464961067853169</v>
      </c>
      <c r="G14" s="1154">
        <f>IF(ISNUMBER((Datos!N14-Datos!X14)/Datos!X14),(Datos!N14-Datos!X14)/Datos!X14," - ")</f>
        <v>2.1490750816104461E-2</v>
      </c>
      <c r="H14" s="1154">
        <f>IF(ISNUMBER(((NºAsuntos!G14/NºAsuntos!E14)-Datos!BD14)/Datos!BD14),((NºAsuntos!G14/NºAsuntos!E14)-Datos!BD14)/Datos!BD14," - ")</f>
        <v>-0.2746342054561029</v>
      </c>
      <c r="I14" s="1154">
        <f>IF(ISNUMBER(((NºAsuntos!I14/NºAsuntos!G14)-Datos!BE14)/Datos!BE14),((NºAsuntos!I14/NºAsuntos!G14)-Datos!BE14)/Datos!BE14," - ")</f>
        <v>9.9007378103854543E-2</v>
      </c>
      <c r="J14" s="1154">
        <f>IF(ISNUMBER((('Resol  Asuntos'!D14/NºAsuntos!G14)-Datos!BF14)/Datos!BF14),(('Resol  Asuntos'!D14/NºAsuntos!G14)-Datos!BF14)/Datos!BF14," - ")</f>
        <v>-0.380956910574277</v>
      </c>
      <c r="K14" s="1154">
        <f>IF(ISNUMBER((((NºAsuntos!C14+NºAsuntos!E14)/NºAsuntos!G14)-Datos!BG14)/Datos!BG14),(((NºAsuntos!C14+NºAsuntos!E14)/NºAsuntos!G14)-Datos!BG14)/Datos!BG14," - ")</f>
        <v>7.7631323864202004E-2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0.19823517340447364</v>
      </c>
      <c r="C16" s="515">
        <f>IF(ISNUMBER(
   IF(D_I="SI",(Datos!J16-Datos!T16)/Datos!T16,(Datos!J16+Datos!AD16-(Datos!T16+Datos!AL16))/(Datos!T16+Datos!AL16))
     ),IF(D_I="SI",(Datos!J16-Datos!T16)/Datos!T16,(Datos!J16+Datos!AD16-(Datos!T16+Datos!AL16))/(Datos!T16+Datos!AL16))," - ")</f>
        <v>7.7373211963589081E-2</v>
      </c>
      <c r="D16" s="515">
        <f>IF(ISNUMBER(
   IF(D_I="SI",(Datos!K16-Datos!U16)/Datos!U16,(Datos!K16+Datos!AE16-(Datos!U16+Datos!AM16))/(Datos!U16+Datos!AM16))
     ),IF(D_I="SI",(Datos!K16-Datos!U16)/Datos!U16,(Datos!K16+Datos!AE16-(Datos!U16+Datos!AM16))/(Datos!U16+Datos!AM16))," - ")</f>
        <v>6.9729729729729725E-2</v>
      </c>
      <c r="E16" s="515">
        <f>IF(ISNUMBER(
   IF(D_I="SI",(Datos!L16-Datos!V16)/Datos!V16,(Datos!L16+Datos!AF16-(Datos!V16+Datos!AN16))/(Datos!V16+Datos!AN16))
     ),IF(D_I="SI",(Datos!L16-Datos!V16)/Datos!V16,(Datos!L16+Datos!AF16-(Datos!V16+Datos!AN16))/(Datos!V16+Datos!AN16))," - ")</f>
        <v>0.23763570566948131</v>
      </c>
      <c r="F16" s="515">
        <f>IF(ISNUMBER((Datos!M16-Datos!W16)/Datos!W16),(Datos!M16-Datos!W16)/Datos!W16," - ")</f>
        <v>-0.10867178924259056</v>
      </c>
      <c r="G16" s="516">
        <f>IF(ISNUMBER((Datos!N16-Datos!X16)/Datos!X16),(Datos!N16-Datos!X16)/Datos!X16," - ")</f>
        <v>8.0625752105896509E-2</v>
      </c>
      <c r="H16" s="514">
        <f>IF(ISNUMBER(((NºAsuntos!G16/NºAsuntos!E16)-Datos!BD16)/Datos!BD16),((NºAsuntos!G16/NºAsuntos!E16)-Datos!BD16)/Datos!BD16," - ")</f>
        <v>-7.0945538175471506E-3</v>
      </c>
      <c r="I16" s="515">
        <f>IF(ISNUMBER(((NºAsuntos!I16/NºAsuntos!G16)-Datos!BE16)/Datos!BE16),((NºAsuntos!I16/NºAsuntos!G16)-Datos!BE16)/Datos!BE16," - ")</f>
        <v>0.1569611194990097</v>
      </c>
      <c r="J16" s="521">
        <f>IF(ISNUMBER((('Resol  Asuntos'!D16/NºAsuntos!G16)-Datos!BF16)/Datos!BF16),(('Resol  Asuntos'!D16/NºAsuntos!G16)-Datos!BF16)/Datos!BF16," - ")</f>
        <v>-0.16677251647235597</v>
      </c>
      <c r="K16" s="522">
        <f>IF(ISNUMBER((((NºAsuntos!C16+NºAsuntos!E16)/NºAsuntos!G16)-Datos!BG16)/Datos!BG16),(((NºAsuntos!C16+NºAsuntos!E16)/NºAsuntos!G16)-Datos!BG16)/Datos!BG16," - ")</f>
        <v>4.6189944419955303E-2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9.6618357487922704E-2</v>
      </c>
      <c r="C18" s="515">
        <f>IF(ISNUMBER(
   IF(D_I="SI",(Datos!J18-Datos!T18)/Datos!T18,(Datos!J18+Datos!AD18-(Datos!T18+Datos!AL18))/(Datos!T18+Datos!AL18))
     ),IF(D_I="SI",(Datos!J18-Datos!T18)/Datos!T18,(Datos!J18+Datos!AD18-(Datos!T18+Datos!AL18))/(Datos!T18+Datos!AL18))," - ")</f>
        <v>0.22235023041474655</v>
      </c>
      <c r="D18" s="515">
        <f>IF(ISNUMBER(
   IF(D_I="SI",(Datos!K18-Datos!U18)/Datos!U18,(Datos!K18+Datos!AE18-(Datos!U18+Datos!AM18))/(Datos!U18+Datos!AM18))
     ),IF(D_I="SI",(Datos!K18-Datos!U18)/Datos!U18,(Datos!K18+Datos!AE18-(Datos!U18+Datos!AM18))/(Datos!U18+Datos!AM18))," - ")</f>
        <v>0.2275943396226415</v>
      </c>
      <c r="E18" s="515">
        <f>IF(ISNUMBER(
   IF(D_I="SI",(Datos!L18-Datos!V18)/Datos!V18,(Datos!L18+Datos!AF18-(Datos!V18+Datos!AN18))/(Datos!V18+Datos!AN18))
     ),IF(D_I="SI",(Datos!L18-Datos!V18)/Datos!V18,(Datos!L18+Datos!AF18-(Datos!V18+Datos!AN18))/(Datos!V18+Datos!AN18))," - ")</f>
        <v>0.29166666666666669</v>
      </c>
      <c r="F18" s="515">
        <f>IF(ISNUMBER((Datos!M18-Datos!W18)/Datos!W18),(Datos!M18-Datos!W18)/Datos!W18," - ")</f>
        <v>0.24242424242424243</v>
      </c>
      <c r="G18" s="516">
        <f>IF(ISNUMBER((Datos!N18-Datos!X18)/Datos!X18),(Datos!N18-Datos!X18)/Datos!X18," - ")</f>
        <v>0.2680577849117175</v>
      </c>
      <c r="H18" s="514">
        <f>IF(ISNUMBER(((NºAsuntos!G18/NºAsuntos!E18)-Datos!BD18)/Datos!BD18),((NºAsuntos!G18/NºAsuntos!E18)-Datos!BD18)/Datos!BD18," - ")</f>
        <v>4.2901854782778749E-3</v>
      </c>
      <c r="I18" s="515">
        <f>IF(ISNUMBER(((NºAsuntos!I18/NºAsuntos!G18)-Datos!BE18)/Datos!BE18),((NºAsuntos!I18/NºAsuntos!G18)-Datos!BE18)/Datos!BE18," - ")</f>
        <v>5.219340377841819E-2</v>
      </c>
      <c r="J18" s="521">
        <f>IF(ISNUMBER((('Resol  Asuntos'!D18/NºAsuntos!G18)-Datos!BF18)/Datos!BF18),(('Resol  Asuntos'!D18/NºAsuntos!G18)-Datos!BF18)/Datos!BF18," - ")</f>
        <v>1.2080458766337754E-2</v>
      </c>
      <c r="K18" s="522">
        <f>IF(ISNUMBER((((NºAsuntos!C18+NºAsuntos!E18)/NºAsuntos!G18)-Datos!BG18)/Datos!BG18),(((NºAsuntos!C18+NºAsuntos!E18)/NºAsuntos!G18)-Datos!BG18)/Datos!BG18," - ")</f>
        <v>-2.3993923552934299E-2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0.19409448818897637</v>
      </c>
      <c r="C23" s="1152">
        <f>IF(ISNUMBER(
   IF(Criterios!B14="SI",(Datos!J23-Datos!T23)/Datos!T23,(Datos!J23+Datos!AD23-(Datos!T23+Datos!AL23))/(Datos!T23+Datos!AL23))
     ),IF(Criterios!B14="SI",(Datos!J23-Datos!T23)/Datos!T23,(Datos!J23+Datos!AD23-(Datos!T23+Datos!AL23))/(Datos!T23+Datos!AL23))," - ")</f>
        <v>8.9837559429477021E-2</v>
      </c>
      <c r="D23" s="1152">
        <f>IF(ISNUMBER(
   IF(Criterios!B14="SI",(Datos!K23-Datos!U23)/Datos!U23,(Datos!K23+Datos!AE23-(Datos!U23+Datos!AM23))/(Datos!U23+Datos!AM23))
     ),IF(Criterios!B14="SI",(Datos!K23-Datos!U23)/Datos!U23,(Datos!K23+Datos!AE23-(Datos!U23+Datos!AM23))/(Datos!U23+Datos!AM23))," - ")</f>
        <v>8.2986730045553569E-2</v>
      </c>
      <c r="E23" s="1152">
        <f>IF(ISNUMBER(
   IF(Criterios!B14="SI",(Datos!L23-Datos!V23)/Datos!V23,(Datos!L23+Datos!AF23-(Datos!V23+Datos!AN23))/(Datos!V23+Datos!AN23))
     ),IF(Criterios!B14="SI",(Datos!L23-Datos!V23)/Datos!V23,(Datos!L23+Datos!AF23-(Datos!V23+Datos!AN23))/(Datos!V23+Datos!AN23))," - ")</f>
        <v>0.23964382500967868</v>
      </c>
      <c r="F23" s="1153">
        <f>IF(ISNUMBER((Datos!M23-Datos!W23)/Datos!W23),(Datos!M23-Datos!W23)/Datos!W23," - ")</f>
        <v>-7.4257425742574254E-2</v>
      </c>
      <c r="G23" s="1154">
        <f>IF(ISNUMBER((Datos!N23-Datos!X23)/Datos!X23),(Datos!N23-Datos!X23)/Datos!X23," - ")</f>
        <v>9.8757763975155274E-2</v>
      </c>
      <c r="H23" s="1154">
        <f>IF(ISNUMBER(((NºAsuntos!G23/NºAsuntos!E23)-Datos!BD23)/Datos!BD23),((NºAsuntos!G23/NºAsuntos!E23)-Datos!BD23)/Datos!BD23," - ")</f>
        <v>-6.286101377814309E-3</v>
      </c>
      <c r="I23" s="1154">
        <f>IF(ISNUMBER(((NºAsuntos!I23/NºAsuntos!G23)-Datos!BE23)/Datos!BE23),((NºAsuntos!I23/NºAsuntos!G23)-Datos!BE23)/Datos!BE23," - ")</f>
        <v>0.14465282964042936</v>
      </c>
      <c r="J23" s="1154">
        <f>IF(ISNUMBER((('Resol  Asuntos'!D23/NºAsuntos!G23)-Datos!BF23)/Datos!BF23),(('Resol  Asuntos'!D23/NºAsuntos!G23)-Datos!BF23)/Datos!BF23," - ")</f>
        <v>-0.14519490537202942</v>
      </c>
      <c r="K23" s="1154">
        <f>IF(ISNUMBER((((NºAsuntos!C23+NºAsuntos!E23)/NºAsuntos!G23)-Datos!BG23)/Datos!BG23),(((NºAsuntos!C23+NºAsuntos!E23)/NºAsuntos!G23)-Datos!BG23)/Datos!BG23," - ")</f>
        <v>3.8550514731032971E-2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1.0092961487383798E-2</v>
      </c>
      <c r="C31" s="1092">
        <f>IF(ISNUMBER(
   IF(J_V="SI",(Datos!J31-Datos!T31)/Datos!T31,(Datos!J31+Datos!Z31-(Datos!T31+Datos!AH31))/(Datos!T31+Datos!AH31))
     ),IF(J_V="SI",(Datos!J31-Datos!T31)/Datos!T31,(Datos!J31+Datos!Z31-(Datos!T31+Datos!AH31))/(Datos!T31+Datos!AH31))," - ")</f>
        <v>0.1967194441280328</v>
      </c>
      <c r="D31" s="1092">
        <f>IF(ISNUMBER(
   IF(J_V="SI",(Datos!K31-Datos!U31)/Datos!U31,(Datos!K31+Datos!AA31-(Datos!U31+Datos!AI31))/(Datos!U31+Datos!AI31))
     ),IF(J_V="SI",(Datos!K31-Datos!U31)/Datos!U31,(Datos!K31+Datos!AA31-(Datos!U31+Datos!AI31))/(Datos!U31+Datos!AI31))," - ")</f>
        <v>3.1864694342823817E-2</v>
      </c>
      <c r="E31" s="1092">
        <f>IF(ISNUMBER(
   IF(J_V="SI",(Datos!L31-Datos!V31)/Datos!V31,(Datos!L31+Datos!AB31-(Datos!V31+Datos!AJ31))/(Datos!V31+Datos!AJ31))
     ),IF(J_V="SI",(Datos!L31-Datos!V31)/Datos!V31,(Datos!L31+Datos!AB31-(Datos!V31+Datos!AJ31))/(Datos!V31+Datos!AJ31))," - ")</f>
        <v>9.3433581209011338E-2</v>
      </c>
      <c r="F31" s="1093">
        <f>IF(ISNUMBER((Datos!M31-Datos!W31)/Datos!W31),(Datos!M31-Datos!W31)/Datos!W31," - ")</f>
        <v>-0.15457243053682224</v>
      </c>
      <c r="G31" s="1094">
        <f>IF(ISNUMBER((Datos!N31-Datos!X31)/Datos!X31),(Datos!N31-Datos!X31)/Datos!X31," - ")</f>
        <v>7.0680110715697908E-2</v>
      </c>
      <c r="H31" s="1095">
        <f>IF(ISNUMBER((Tasas!B31-Datos!BD31)/Datos!BD31),(Tasas!B31-Datos!BD31)/Datos!BD31," - ")</f>
        <v>-0.13775555381347313</v>
      </c>
      <c r="I31" s="1096">
        <f>IF(ISNUMBER((Tasas!C31-Datos!BE31)/Datos!BE31),(Tasas!C31-Datos!BE31)/Datos!BE31," - ")</f>
        <v>5.9667597121732745E-2</v>
      </c>
      <c r="J31" s="1097">
        <f>IF(ISNUMBER((Tasas!D31-Datos!BF31)/Datos!BF31),(Tasas!D31-Datos!BF31)/Datos!BF31," - ")</f>
        <v>-0.34837590308233773</v>
      </c>
      <c r="K31" s="1097">
        <f>IF(ISNUMBER((Tasas!E31-Datos!BG31)/Datos!BG31),(Tasas!E31-Datos!BG31)/Datos!BG31," - ")</f>
        <v>3.6421211907364998E-2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DEsz1Zo9o1Ea8PpJt6FHijujhlpeJiKTVyFCe2TH4+bd61aut7vIAyPSw2we9pfaEG9fdUHklND6Y0C6NeMPQ==" saltValue="8ejAS+CghnYpB+x7TF7vY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REGION DE MURCIA</v>
      </c>
    </row>
    <row r="3" spans="1:7" ht="19.5">
      <c r="A3" s="491" t="s">
        <v>17</v>
      </c>
      <c r="B3" s="439" t="str">
        <f>Criterios!A10 &amp;"  "&amp;Criterios!B10</f>
        <v>Provincias  MURCIA</v>
      </c>
    </row>
    <row r="4" spans="1:7" ht="11.25" customHeight="1" thickBot="1">
      <c r="B4" s="439" t="str">
        <f>Criterios!A11 &amp;"  "&amp;Criterios!B11</f>
        <v>Resumenes por Partidos Judiciales  MURCIA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0.83914019133105</v>
      </c>
      <c r="C9" s="498">
        <f>IF(ISNUMBER(NºAsuntos!I9/NºAsuntos!G9),NºAsuntos!I9/NºAsuntos!G9," - ")</f>
        <v>4.2567206192821958</v>
      </c>
      <c r="D9" s="499">
        <f>IF(ISNUMBER('Resol  Asuntos'!D9/NºAsuntos!G9),'Resol  Asuntos'!D9/NºAsuntos!G9," - ")</f>
        <v>0.25109078114004224</v>
      </c>
      <c r="E9" s="500">
        <f>IF(ISNUMBER((NºAsuntos!C9+NºAsuntos!E9)/NºAsuntos!G9),(NºAsuntos!C9+NºAsuntos!E9)/NºAsuntos!G9," - ")</f>
        <v>5.2571428571428571</v>
      </c>
      <c r="G9" s="523"/>
    </row>
    <row r="10" spans="1:7">
      <c r="A10" s="450" t="str">
        <f>Datos!A10</f>
        <v>Jdos. Violencia contra la mujer</v>
      </c>
      <c r="B10" s="497">
        <f>IF(ISNUMBER(NºAsuntos!G10/NºAsuntos!E10),NºAsuntos!G10/NºAsuntos!E10," - ")</f>
        <v>1.0338983050847457</v>
      </c>
      <c r="C10" s="498">
        <f>IF(ISNUMBER(NºAsuntos!I10/NºAsuntos!G10),NºAsuntos!I10/NºAsuntos!G10," - ")</f>
        <v>1.6830601092896176</v>
      </c>
      <c r="D10" s="499">
        <f>IF(ISNUMBER('Resol  Asuntos'!D10/NºAsuntos!G10),'Resol  Asuntos'!D10/NºAsuntos!G10," - ")</f>
        <v>0.24590163934426229</v>
      </c>
      <c r="E10" s="500">
        <f>IF(ISNUMBER((NºAsuntos!C10+NºAsuntos!E10)/NºAsuntos!G10),(NºAsuntos!C10+NºAsuntos!E10)/NºAsuntos!G10," - ")</f>
        <v>2.6830601092896176</v>
      </c>
      <c r="G10" s="523"/>
    </row>
    <row r="11" spans="1:7">
      <c r="A11" s="450" t="str">
        <f>Datos!A11</f>
        <v xml:space="preserve">Jdos. Familia                                   </v>
      </c>
      <c r="B11" s="497">
        <f>IF(ISNUMBER(NºAsuntos!G11/NºAsuntos!E11),NºAsuntos!G11/NºAsuntos!E11," - ")</f>
        <v>0.90695970695970696</v>
      </c>
      <c r="C11" s="498">
        <f>IF(ISNUMBER(NºAsuntos!I11/NºAsuntos!G11),NºAsuntos!I11/NºAsuntos!G11," - ")</f>
        <v>2.3360258481421647</v>
      </c>
      <c r="D11" s="499">
        <f>IF(ISNUMBER('Resol  Asuntos'!D11/NºAsuntos!G11),'Resol  Asuntos'!D11/NºAsuntos!G11," - ")</f>
        <v>0.29886914378029078</v>
      </c>
      <c r="E11" s="500">
        <f>IF(ISNUMBER((NºAsuntos!C11+NºAsuntos!E11)/NºAsuntos!G11),(NºAsuntos!C11+NºAsuntos!E11)/NºAsuntos!G11," - ")</f>
        <v>3.3360258481421647</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0.85183334998501348</v>
      </c>
      <c r="C14" s="1156">
        <f>IF(ISNUMBER(NºAsuntos!I14/NºAsuntos!G14),NºAsuntos!I14/NºAsuntos!G14," - ")</f>
        <v>3.9225897255453908</v>
      </c>
      <c r="D14" s="1157">
        <f>IF(ISNUMBER('Resol  Asuntos'!D14/NºAsuntos!G14),'Resol  Asuntos'!D14/NºAsuntos!G14," - ")</f>
        <v>0.25791695988740326</v>
      </c>
      <c r="E14" s="1158">
        <f>IF(ISNUMBER((NºAsuntos!C14+NºAsuntos!E14)/NºAsuntos!G14),(NºAsuntos!C14+NºAsuntos!E14)/NºAsuntos!G14," - ")</f>
        <v>4.922941590429275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0.99527258096962379</v>
      </c>
      <c r="C16" s="498">
        <f>IF(ISNUMBER(NºAsuntos!I16/NºAsuntos!G16),NºAsuntos!I16/NºAsuntos!G16," - ")</f>
        <v>0.62213239009600807</v>
      </c>
      <c r="D16" s="499">
        <f>IF(ISNUMBER('Resol  Asuntos'!D16/NºAsuntos!G16),'Resol  Asuntos'!D16/NºAsuntos!G16," - ")</f>
        <v>8.2061647296614457E-2</v>
      </c>
      <c r="E16" s="500">
        <f>IF(ISNUMBER((NºAsuntos!C16+NºAsuntos!E16)/NºAsuntos!G16),(NºAsuntos!C16+NºAsuntos!E16)/NºAsuntos!G16," - ")</f>
        <v>1.5948458817584639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0.98114985862393966</v>
      </c>
      <c r="C18" s="498">
        <f>IF(ISNUMBER(NºAsuntos!I18/NºAsuntos!G18),NºAsuntos!I18/NºAsuntos!G18," - ")</f>
        <v>0.23823246878001922</v>
      </c>
      <c r="D18" s="499">
        <f>IF(ISNUMBER('Resol  Asuntos'!D18/NºAsuntos!G18),'Resol  Asuntos'!D18/NºAsuntos!G18," - ")</f>
        <v>0.11815561959654179</v>
      </c>
      <c r="E18" s="500">
        <f>IF(ISNUMBER((NºAsuntos!C18+NºAsuntos!E18)/NºAsuntos!G18),(NºAsuntos!C18+NºAsuntos!E18)/NºAsuntos!G18," - ")</f>
        <v>1.2372718539865515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0.99391075161319642</v>
      </c>
      <c r="C23" s="1156">
        <f>IF(ISNUMBER(NºAsuntos!I23/NºAsuntos!G23),NºAsuntos!I23/NºAsuntos!G23," - ")</f>
        <v>0.58558888076079008</v>
      </c>
      <c r="D23" s="1159">
        <f>IF(ISNUMBER('Resol  Asuntos'!D23/NºAsuntos!G23),'Resol  Asuntos'!D23/NºAsuntos!G23," - ")</f>
        <v>8.5497439648866136E-2</v>
      </c>
      <c r="E23" s="1158">
        <f>IF(ISNUMBER((NºAsuntos!C23+NºAsuntos!E23)/NºAsuntos!G23),(NºAsuntos!C23+NºAsuntos!E23)/NºAsuntos!G23," - ")</f>
        <v>1.5608083394294074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0.92623262897391967</v>
      </c>
      <c r="C31" s="1099">
        <f>IF(ISNUMBER(NºAsuntos!I31/NºAsuntos!G31),NºAsuntos!I31/NºAsuntos!G31," - ")</f>
        <v>2.0474771349296064</v>
      </c>
      <c r="D31" s="1100">
        <f>IF(ISNUMBER('Resol  Asuntos'!D31/NºAsuntos!G31),'Resol  Asuntos'!D31/NºAsuntos!G31," - ")</f>
        <v>0.16103175418764773</v>
      </c>
      <c r="E31" s="1101">
        <f>IF(ISNUMBER((NºAsuntos!C31+NºAsuntos!E31)/NºAsuntos!G31),(NºAsuntos!C31+NºAsuntos!E31)/NºAsuntos!G31," - ")</f>
        <v>3.0337067105127939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kOQSPh0D5KTQIhanxIi3xR/hTbOZkFx77HK0W5LYBghmGTO8QA/NTPa1TI3sqWJeF7cIcu6jscjoo8R8qNoGRw==" saltValue="mpPpPD80gyd6792rHMat/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REGION DE MURCIA</v>
      </c>
      <c r="G2" s="369"/>
      <c r="H2" s="368"/>
      <c r="I2" s="368"/>
      <c r="J2" s="368"/>
      <c r="K2" s="368"/>
      <c r="L2" s="368" t="str">
        <f>Criterios!A10 &amp;"  "&amp;Criterios!B10</f>
        <v>Provincias  MURCIA</v>
      </c>
      <c r="N2" s="368" t="str">
        <f>Criterios!A11 &amp;"  "&amp;Criterios!B11</f>
        <v>Resumenes por Partidos Judiciales  MURCIA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14</v>
      </c>
      <c r="B9" s="190" t="s">
        <v>321</v>
      </c>
      <c r="C9" s="173" t="str">
        <f>Datos!A9</f>
        <v xml:space="preserve">Jdos. 1ª Instancia   </v>
      </c>
      <c r="D9" s="173"/>
      <c r="E9" s="1402">
        <f>IF(ISNUMBER(Datos!AQ9),Datos!AQ9," - ")</f>
        <v>14</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1493</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2978</v>
      </c>
      <c r="Y9" s="374">
        <f>SUM(W9:X9)</f>
        <v>2978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30011</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1784</v>
      </c>
      <c r="AJ9" s="243" t="str">
        <f>IF(ISNUMBER(Datos!BW9),Datos!BW9," - ")</f>
        <v xml:space="preserve"> - </v>
      </c>
      <c r="AK9" s="242" t="str">
        <f>IF(ISNUMBER(Datos!BX9),Datos!BX9," - ")</f>
        <v xml:space="preserve"> - </v>
      </c>
      <c r="AL9" s="266">
        <f>IF(ISNUMBER(NºAsuntos!G9/NºAsuntos!E9),NºAsuntos!G9/NºAsuntos!E9," - ")</f>
        <v>0.83914019133105</v>
      </c>
      <c r="AM9" s="284">
        <f>IF(ISNUMBER(((NºAsuntos!I9/NºAsuntos!G9)*11)/factor_trimestre),((NºAsuntos!I9/NºAsuntos!G9)*11)/factor_trimestre," - ")</f>
        <v>12.770161857846588</v>
      </c>
      <c r="AN9" s="267">
        <f>IF(ISNUMBER('Resol  Asuntos'!D9/NºAsuntos!G9),'Resol  Asuntos'!D9/NºAsuntos!G9," - ")</f>
        <v>0.25109078114004224</v>
      </c>
      <c r="AO9" s="268">
        <f>IF(ISNUMBER((NºAsuntos!C9+NºAsuntos!E9)/NºAsuntos!G9),(NºAsuntos!C9+NºAsuntos!E9)/NºAsuntos!G9," - ")</f>
        <v>5.2571428571428571</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2</v>
      </c>
      <c r="B10" s="300" t="s">
        <v>321</v>
      </c>
      <c r="C10" s="7" t="str">
        <f>Datos!A10</f>
        <v>Jdos. Violencia contra la mujer</v>
      </c>
      <c r="D10" s="7"/>
      <c r="E10" s="1402">
        <f>IF(ISNUMBER(Datos!AQ10),Datos!AQ10," - ")</f>
        <v>2</v>
      </c>
      <c r="F10" s="239">
        <f>IF(ISNUMBER(Datos!L10+Datos!K10-Datos!J10-K10),Datos!L10+Datos!K10-Datos!J10-K10," - ")</f>
        <v>314</v>
      </c>
      <c r="G10" s="373">
        <f>IF(ISNUMBER(Datos!I10),Datos!I10," - ")</f>
        <v>314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183</v>
      </c>
      <c r="X10" s="240">
        <f>IF(ISNUMBER(Datos!Q10),Datos!Q10," - ")</f>
        <v>22</v>
      </c>
      <c r="Y10" s="374">
        <f t="shared" ref="Y10:Y13" si="0">SUM(W10:X10)</f>
        <v>205</v>
      </c>
      <c r="Z10" s="375" t="str">
        <f>IF(ISNUMBER(Datos!CC10),Datos!CC10," - ")</f>
        <v xml:space="preserve"> - </v>
      </c>
      <c r="AA10" s="372">
        <f>IF(ISNUMBER(Datos!L10),Datos!L10,"-")</f>
        <v>308</v>
      </c>
      <c r="AB10" s="374">
        <f>IF(ISNUMBER(Datos!R10),Datos!R10," - ")</f>
        <v>197</v>
      </c>
      <c r="AC10" s="374">
        <f t="shared" ref="AC10:AC13" si="1">IF(ISNUMBER(AA10+AB10),AA10+AB10," - ")</f>
        <v>505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45</v>
      </c>
      <c r="AJ10" s="245" t="str">
        <f>IF(ISNUMBER(Datos!BW10),Datos!BW10," - ")</f>
        <v xml:space="preserve"> - </v>
      </c>
      <c r="AK10" s="246" t="str">
        <f>IF(ISNUMBER(Datos!BX10),Datos!BX10," - ")</f>
        <v xml:space="preserve"> - </v>
      </c>
      <c r="AL10" s="266">
        <f>IF(ISNUMBER(NºAsuntos!G10/NºAsuntos!E10),NºAsuntos!G10/NºAsuntos!E10," - ")</f>
        <v>1.0338983050847457</v>
      </c>
      <c r="AM10" s="284">
        <f>IF(ISNUMBER(((NºAsuntos!I10/NºAsuntos!G10)*11)/factor_trimestre),((NºAsuntos!I10/NºAsuntos!G10)*11)/factor_trimestre," - ")</f>
        <v>5.0491803278688536</v>
      </c>
      <c r="AN10" s="267">
        <f>IF(ISNUMBER('Resol  Asuntos'!D10/NºAsuntos!G10),'Resol  Asuntos'!D10/NºAsuntos!G10," - ")</f>
        <v>0.24590163934426229</v>
      </c>
      <c r="AO10" s="268">
        <f>IF(ISNUMBER((NºAsuntos!C10+NºAsuntos!E10)/NºAsuntos!G10),(NºAsuntos!C10+NºAsuntos!E10)/NºAsuntos!G10," - ")</f>
        <v>2.6830601092896176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4</v>
      </c>
      <c r="B11" s="300" t="s">
        <v>321</v>
      </c>
      <c r="C11" s="7" t="str">
        <f>Datos!A11</f>
        <v xml:space="preserve">Jdos. Familia                                   </v>
      </c>
      <c r="D11" s="7"/>
      <c r="E11" s="1402">
        <f>IF(ISNUMBER(Datos!AQ11),Datos!AQ11," - ")</f>
        <v>4</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134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61</v>
      </c>
      <c r="Y11" s="374">
        <f t="shared" si="0"/>
        <v>61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1588</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370</v>
      </c>
      <c r="AJ11" s="245" t="str">
        <f>IF(ISNUMBER(Datos!BW11),Datos!BW11," - ")</f>
        <v xml:space="preserve"> - </v>
      </c>
      <c r="AK11" s="246" t="str">
        <f>IF(ISNUMBER(Datos!BX11),Datos!BX11," - ")</f>
        <v xml:space="preserve"> - </v>
      </c>
      <c r="AL11" s="266">
        <f>IF(ISNUMBER(NºAsuntos!G11/NºAsuntos!E11),NºAsuntos!G11/NºAsuntos!E11," - ")</f>
        <v>0.90695970695970696</v>
      </c>
      <c r="AM11" s="284">
        <f>IF(ISNUMBER(((NºAsuntos!I11/NºAsuntos!G11)*11)/factor_trimestre),((NºAsuntos!I11/NºAsuntos!G11)*11)/factor_trimestre," - ")</f>
        <v>7.0080775444264951</v>
      </c>
      <c r="AN11" s="267">
        <f>IF(ISNUMBER('Resol  Asuntos'!D11/NºAsuntos!G11),'Resol  Asuntos'!D11/NºAsuntos!G11," - ")</f>
        <v>0.29886914378029078</v>
      </c>
      <c r="AO11" s="268">
        <f>IF(ISNUMBER((NºAsuntos!C11+NºAsuntos!E11)/NºAsuntos!G11),(NºAsuntos!C11+NºAsuntos!E11)/NºAsuntos!G11," - ")</f>
        <v>3.3360258481421647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20</v>
      </c>
      <c r="F14" s="1162">
        <f t="shared" si="5"/>
        <v>314</v>
      </c>
      <c r="G14" s="1163">
        <f t="shared" si="5"/>
        <v>314</v>
      </c>
      <c r="H14" s="1162">
        <f t="shared" si="5"/>
        <v>0</v>
      </c>
      <c r="I14" s="1164">
        <f t="shared" si="5"/>
        <v>0</v>
      </c>
      <c r="J14" s="1164">
        <f t="shared" si="5"/>
        <v>0</v>
      </c>
      <c r="K14" s="1164">
        <f t="shared" si="5"/>
        <v>0</v>
      </c>
      <c r="L14" s="1164">
        <f t="shared" si="5"/>
        <v>1637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183</v>
      </c>
      <c r="X14" s="1164">
        <f t="shared" si="6"/>
        <v>3061</v>
      </c>
      <c r="Y14" s="1165">
        <f t="shared" si="6"/>
        <v>3244</v>
      </c>
      <c r="Z14" s="1165">
        <f t="shared" si="6"/>
        <v>0</v>
      </c>
      <c r="AA14" s="1165">
        <f t="shared" si="6"/>
        <v>308</v>
      </c>
      <c r="AB14" s="1165">
        <f t="shared" si="6"/>
        <v>31796</v>
      </c>
      <c r="AC14" s="1165">
        <f t="shared" si="6"/>
        <v>505</v>
      </c>
      <c r="AD14" s="1165">
        <f t="shared" si="6"/>
        <v>0</v>
      </c>
      <c r="AE14" s="1169">
        <f t="shared" si="6"/>
        <v>0</v>
      </c>
      <c r="AF14" s="1162">
        <f t="shared" si="6"/>
        <v>0</v>
      </c>
      <c r="AG14" s="1170">
        <f t="shared" si="6"/>
        <v>0</v>
      </c>
      <c r="AH14" s="1167">
        <f t="shared" si="6"/>
        <v>0</v>
      </c>
      <c r="AI14" s="1162">
        <f t="shared" si="6"/>
        <v>2199</v>
      </c>
      <c r="AJ14" s="1164">
        <f t="shared" si="6"/>
        <v>0</v>
      </c>
      <c r="AK14" s="1167">
        <f>SUBTOTAL(9,AK9:AK13)</f>
        <v>0</v>
      </c>
      <c r="AL14" s="1171">
        <f>IF(ISNUMBER(NºAsuntos!G14/NºAsuntos!E14),NºAsuntos!G14/NºAsuntos!E14," - ")</f>
        <v>0.85183334998501348</v>
      </c>
      <c r="AM14" s="1171">
        <f>IF(ISNUMBER(((NºAsuntos!I14/NºAsuntos!G14)*11)/factor_trimestre),((NºAsuntos!I14/NºAsuntos!G14)*11)/factor_trimestre," - ")</f>
        <v>11.767769176636174</v>
      </c>
      <c r="AN14" s="1172">
        <f>IF(ISNUMBER('Resol  Asuntos'!D14/NºAsuntos!G14),'Resol  Asuntos'!D14/NºAsuntos!G14," - ")</f>
        <v>0.25791695988740326</v>
      </c>
      <c r="AO14" s="1173">
        <f>IF(ISNUMBER((NºAsuntos!C14+NºAsuntos!E14)/NºAsuntos!G14),(NºAsuntos!C14+NºAsuntos!E14)/NºAsuntos!G14," - ")</f>
        <v>4.922941590429275</v>
      </c>
      <c r="AP14" s="1174" t="str">
        <f t="shared" si="2"/>
        <v xml:space="preserve"> - </v>
      </c>
      <c r="AQ14" s="1174">
        <f>IF(ISNUMBER((H14-W14+K14)/(F14)),(H14-W14+K14)/(F14)," - ")</f>
        <v>-0.58280254777070062</v>
      </c>
      <c r="AR14" s="1175">
        <f>IF(ISNUMBER((Datos!P14-Datos!Q14)/(Datos!R14-Datos!P14+Datos!Q14)),(Datos!P14-Datos!Q14)/(Datos!R14-Datos!P14+Datos!Q14)," - ")</f>
        <v>-4.2865743527995187E-2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9</v>
      </c>
      <c r="B16" s="300" t="s">
        <v>511</v>
      </c>
      <c r="C16" s="173" t="str">
        <f>Datos!A16</f>
        <v xml:space="preserve">Jdos. Instrucción                               </v>
      </c>
      <c r="D16" s="173"/>
      <c r="E16" s="1402">
        <f>IF(ISNUMBER(Datos!AQ16),Datos!AQ16," - ")</f>
        <v>9</v>
      </c>
      <c r="F16" s="239">
        <f>IF(ISNUMBER(AA16+W16-Datos!J16-K16),AA16+W16-Datos!J16-K16," - ")</f>
        <v>6109</v>
      </c>
      <c r="G16" s="373">
        <f>IF(ISNUMBER(IF(D_I="SI",Datos!I16,Datos!I16+Datos!AC16)),IF(D_I="SI",Datos!I16,Datos!I16+Datos!AC16)," - ")</f>
        <v>5839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197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9895</v>
      </c>
      <c r="X16" s="240">
        <f>IF(ISNUMBER(Datos!Q16),Datos!Q16," - ")</f>
        <v>189</v>
      </c>
      <c r="Y16" s="374">
        <f>SUM(W16)</f>
        <v>9895</v>
      </c>
      <c r="Z16" s="375" t="str">
        <f>IF(ISNUMBER(Datos!CC16),Datos!CC16," - ")</f>
        <v xml:space="preserve"> - </v>
      </c>
      <c r="AA16" s="372">
        <f>IF(ISNUMBER(IF(D_I="SI",Datos!L16,Datos!L16+Datos!AF16)),IF(D_I="SI",Datos!L16,Datos!L16+Datos!AF16)," - ")</f>
        <v>6156</v>
      </c>
      <c r="AB16" s="374">
        <f>IF(ISNUMBER(Datos!R16),Datos!R16," - ")</f>
        <v>672</v>
      </c>
      <c r="AC16" s="374">
        <f t="shared" ref="AC16:AC22" si="8">IF(ISNUMBER(AA16+AB16),AA16+AB16," - ")</f>
        <v>6828</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812</v>
      </c>
      <c r="AJ16" s="245" t="str">
        <f>IF(ISNUMBER(Datos!BW16),Datos!BW16," - ")</f>
        <v xml:space="preserve"> - </v>
      </c>
      <c r="AK16" s="246" t="str">
        <f>IF(ISNUMBER(Datos!BX16),Datos!BX16," - ")</f>
        <v xml:space="preserve"> - </v>
      </c>
      <c r="AL16" s="266">
        <f>IF(ISNUMBER(NºAsuntos!G16/NºAsuntos!E16),NºAsuntos!G16/NºAsuntos!E16," - ")</f>
        <v>0.99527258096962379</v>
      </c>
      <c r="AM16" s="284">
        <f>IF(ISNUMBER(((NºAsuntos!I16/NºAsuntos!G16)*11)/factor_trimestre),((NºAsuntos!I16/NºAsuntos!G16)*11)/factor_trimestre," - ")</f>
        <v>1.8663971702880244</v>
      </c>
      <c r="AN16" s="267">
        <f>IF(ISNUMBER('Resol  Asuntos'!D16/NºAsuntos!G16),'Resol  Asuntos'!D16/NºAsuntos!G16," - ")</f>
        <v>8.2061647296614457E-2</v>
      </c>
      <c r="AO16" s="268">
        <f>IF(ISNUMBER((NºAsuntos!C16+NºAsuntos!E16)/NºAsuntos!G16),(NºAsuntos!C16+NºAsuntos!E16)/NºAsuntos!G16," - ")</f>
        <v>1.5948458817584639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2</v>
      </c>
      <c r="B18" s="300" t="s">
        <v>511</v>
      </c>
      <c r="C18" s="7" t="str">
        <f>Datos!A18</f>
        <v>Jdos. Violencia contra la mujer</v>
      </c>
      <c r="D18" s="7"/>
      <c r="E18" s="1402">
        <f>IF(ISNUMBER(Datos!AQ18),Datos!AQ18," - ")</f>
        <v>2</v>
      </c>
      <c r="F18" s="239" t="str">
        <f>IF(ISNUMBER(AA18+W18-H18-K18),AA18+W18-H18-K18," - ")</f>
        <v xml:space="preserve"> - </v>
      </c>
      <c r="G18" s="373">
        <f>IF(ISNUMBER(IF(D_I="SI",Datos!I18,Datos!I18+Datos!AC18)),IF(D_I="SI",Datos!I18,Datos!I18+Datos!AC18)," - ")</f>
        <v>227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1041</v>
      </c>
      <c r="X18" s="240">
        <f>IF(ISNUMBER(Datos!Q18),Datos!Q18," - ")</f>
        <v>5</v>
      </c>
      <c r="Y18" s="374">
        <f t="shared" si="9"/>
        <v>1046</v>
      </c>
      <c r="Z18" s="375" t="str">
        <f>IF(ISNUMBER(Datos!CC18),Datos!CC18," - ")</f>
        <v xml:space="preserve"> - </v>
      </c>
      <c r="AA18" s="372">
        <f>IF(ISNUMBER(Datos!L18),Datos!L18,"-")</f>
        <v>248</v>
      </c>
      <c r="AB18" s="374">
        <f>IF(ISNUMBER(Datos!R18),Datos!R18," - ")</f>
        <v>22</v>
      </c>
      <c r="AC18" s="374">
        <f t="shared" si="8"/>
        <v>270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123</v>
      </c>
      <c r="AJ18" s="245" t="str">
        <f>IF(ISNUMBER(Datos!BW18),Datos!BW18," - ")</f>
        <v xml:space="preserve"> - </v>
      </c>
      <c r="AK18" s="246" t="str">
        <f>IF(ISNUMBER(Datos!BX18),Datos!BX18," - ")</f>
        <v xml:space="preserve"> - </v>
      </c>
      <c r="AL18" s="266">
        <f>IF(ISNUMBER(NºAsuntos!G18/NºAsuntos!E18),NºAsuntos!G18/NºAsuntos!E18," - ")</f>
        <v>0.98114985862393966</v>
      </c>
      <c r="AM18" s="284">
        <f>IF(ISNUMBER(((NºAsuntos!I18/NºAsuntos!G18)*11)/factor_trimestre),((NºAsuntos!I18/NºAsuntos!G18)*11)/factor_trimestre," - ")</f>
        <v>0.71469740634005763</v>
      </c>
      <c r="AN18" s="267">
        <f>IF(ISNUMBER('Resol  Asuntos'!D18/NºAsuntos!G18),'Resol  Asuntos'!D18/NºAsuntos!G18," - ")</f>
        <v>0.11815561959654179</v>
      </c>
      <c r="AO18" s="268">
        <f>IF(ISNUMBER((NºAsuntos!C18+NºAsuntos!E18)/NºAsuntos!G18),(NºAsuntos!C18+NºAsuntos!E18)/NºAsuntos!G18," - ")</f>
        <v>1.2372718539865515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11</v>
      </c>
      <c r="F23" s="1162">
        <f>SUBTOTAL(9,F15:F22)</f>
        <v>6109</v>
      </c>
      <c r="G23" s="1163">
        <f>SUBTOTAL(9,G16:G22)</f>
        <v>6066</v>
      </c>
      <c r="H23" s="1162">
        <f t="shared" ref="H23:O23" si="13">SUBTOTAL(9,H15:H22)</f>
        <v>0</v>
      </c>
      <c r="I23" s="1164">
        <f t="shared" si="13"/>
        <v>0</v>
      </c>
      <c r="J23" s="1164">
        <f t="shared" si="13"/>
        <v>0</v>
      </c>
      <c r="K23" s="1164">
        <f t="shared" si="13"/>
        <v>0</v>
      </c>
      <c r="L23" s="1164">
        <f t="shared" si="13"/>
        <v>201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10936</v>
      </c>
      <c r="X23" s="1164">
        <f t="shared" si="14"/>
        <v>194</v>
      </c>
      <c r="Y23" s="1165">
        <f t="shared" si="14"/>
        <v>10941</v>
      </c>
      <c r="Z23" s="1165">
        <f t="shared" si="14"/>
        <v>0</v>
      </c>
      <c r="AA23" s="1165">
        <f t="shared" si="14"/>
        <v>6404</v>
      </c>
      <c r="AB23" s="1165">
        <f t="shared" si="14"/>
        <v>694</v>
      </c>
      <c r="AC23" s="1165">
        <f t="shared" si="14"/>
        <v>7098</v>
      </c>
      <c r="AD23" s="1165">
        <f t="shared" si="14"/>
        <v>0</v>
      </c>
      <c r="AE23" s="1169">
        <f t="shared" si="14"/>
        <v>0</v>
      </c>
      <c r="AF23" s="1162">
        <f t="shared" si="14"/>
        <v>0</v>
      </c>
      <c r="AG23" s="1170">
        <f t="shared" si="14"/>
        <v>0</v>
      </c>
      <c r="AH23" s="1167">
        <f t="shared" si="14"/>
        <v>0</v>
      </c>
      <c r="AI23" s="1162">
        <f t="shared" si="14"/>
        <v>935</v>
      </c>
      <c r="AJ23" s="1164">
        <f t="shared" si="14"/>
        <v>0</v>
      </c>
      <c r="AK23" s="1167">
        <f t="shared" si="14"/>
        <v>0</v>
      </c>
      <c r="AL23" s="1171">
        <f>IF(ISNUMBER(NºAsuntos!G23/NºAsuntos!E23),NºAsuntos!G23/NºAsuntos!E23," - ")</f>
        <v>0.99391075161319642</v>
      </c>
      <c r="AM23" s="1171">
        <f>IF(ISNUMBER(((NºAsuntos!I23/NºAsuntos!G23)*11)/factor_trimestre),((NºAsuntos!I23/NºAsuntos!G23)*11)/factor_trimestre," - ")</f>
        <v>1.7567666422823702</v>
      </c>
      <c r="AN23" s="1172">
        <f>IF(ISNUMBER('Resol  Asuntos'!D23/NºAsuntos!G23),'Resol  Asuntos'!D23/NºAsuntos!G23," - ")</f>
        <v>8.5497439648866136E-2</v>
      </c>
      <c r="AO23" s="1173">
        <f>IF(ISNUMBER((NºAsuntos!C23+NºAsuntos!E23)/NºAsuntos!G23),(NºAsuntos!C23+NºAsuntos!E23)/NºAsuntos!G23," - ")</f>
        <v>1.5608083394294074</v>
      </c>
      <c r="AP23" s="1174" t="str">
        <f t="shared" si="2"/>
        <v xml:space="preserve"> - </v>
      </c>
      <c r="AQ23" s="1174">
        <f>IF(ISNUMBER((H23-W23+K23)/(F23)),(H23-W23+K23)/(F23)," - ")</f>
        <v>-1.7901456866917662</v>
      </c>
      <c r="AR23" s="1175">
        <f>IF(ISNUMBER((Datos!P23-Datos!Q23)/(Datos!R23-Datos!P23+Datos!Q23)),(Datos!P23-Datos!Q23)/(Datos!R23-Datos!P23+Datos!Q23)," - ")</f>
        <v>1.0189228529839884E-2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31</v>
      </c>
      <c r="F31" s="1117">
        <f t="shared" si="20"/>
        <v>6423</v>
      </c>
      <c r="G31" s="1118">
        <f t="shared" si="20"/>
        <v>6380</v>
      </c>
      <c r="H31" s="1117">
        <f t="shared" si="20"/>
        <v>0</v>
      </c>
      <c r="I31" s="1119">
        <f t="shared" si="20"/>
        <v>0</v>
      </c>
      <c r="J31" s="1119">
        <f t="shared" si="20"/>
        <v>0</v>
      </c>
      <c r="K31" s="1180">
        <f t="shared" si="20"/>
        <v>0</v>
      </c>
      <c r="L31" s="1119">
        <f t="shared" si="20"/>
        <v>1838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11119</v>
      </c>
      <c r="X31" s="1118">
        <f t="shared" si="21"/>
        <v>3255</v>
      </c>
      <c r="Y31" s="1125">
        <f t="shared" si="21"/>
        <v>14185</v>
      </c>
      <c r="Z31" s="1125">
        <f t="shared" si="21"/>
        <v>0</v>
      </c>
      <c r="AA31" s="1125">
        <f t="shared" si="21"/>
        <v>6712</v>
      </c>
      <c r="AB31" s="1125">
        <f t="shared" si="21"/>
        <v>32490</v>
      </c>
      <c r="AC31" s="1125">
        <f t="shared" si="21"/>
        <v>7603</v>
      </c>
      <c r="AD31" s="1125">
        <f t="shared" si="21"/>
        <v>0</v>
      </c>
      <c r="AE31" s="1127">
        <f t="shared" si="21"/>
        <v>0</v>
      </c>
      <c r="AF31" s="1128">
        <f t="shared" si="21"/>
        <v>0</v>
      </c>
      <c r="AG31" s="1129">
        <f t="shared" si="21"/>
        <v>0</v>
      </c>
      <c r="AH31" s="1127">
        <f t="shared" si="21"/>
        <v>0</v>
      </c>
      <c r="AI31" s="1117">
        <f t="shared" si="21"/>
        <v>3134</v>
      </c>
      <c r="AJ31" s="1117">
        <f t="shared" si="21"/>
        <v>0</v>
      </c>
      <c r="AK31" s="1127">
        <f t="shared" si="21"/>
        <v>0</v>
      </c>
      <c r="AL31" s="1183">
        <f>IF(ISNUMBER(NºAsuntos!G31/NºAsuntos!E31),NºAsuntos!G31/NºAsuntos!E31," - ")</f>
        <v>0.92623262897391967</v>
      </c>
      <c r="AM31" s="1184">
        <f>IF(ISNUMBER(((NºAsuntos!I31/NºAsuntos!G31)*11)/factor_trimestre),((NºAsuntos!I31/NºAsuntos!G31)*11)/factor_trimestre," - ")</f>
        <v>6.1424314047888195</v>
      </c>
      <c r="AN31" s="1184">
        <f>IF(ISNUMBER('Resol  Asuntos'!D31/NºAsuntos!G31),'Resol  Asuntos'!D31/NºAsuntos!G31," - ")</f>
        <v>0.16103175418764773</v>
      </c>
      <c r="AO31" s="1185">
        <f>IF(ISNUMBER((NºAsuntos!C31+NºAsuntos!E31)/NºAsuntos!G31),(NºAsuntos!C31+NºAsuntos!E31)/NºAsuntos!G31," - ")</f>
        <v>3.0337067105127939</v>
      </c>
      <c r="AP31" s="1186" t="str">
        <f t="shared" si="2"/>
        <v xml:space="preserve"> - </v>
      </c>
      <c r="AQ31" s="1187">
        <f>IF(OR(ISNUMBER(FIND("01",Criterios!A8,1)),ISNUMBER(FIND("02",Criterios!A8,1)),ISNUMBER(FIND("03",Criterios!A8,1)),ISNUMBER(FIND("04",Criterios!A8,1))),(I31-W31+K31)/(F31-K31),(H31-W31+K31)/(F31-K31))</f>
        <v>-1.7311225284135139</v>
      </c>
      <c r="AR31" s="1188">
        <f>IF(ISNUMBER((Datos!P31-Datos!Q31)/(Datos!R31-Datos!P31+Datos!Q31)),(Datos!P31-Datos!Q31)/(Datos!R31-Datos!P31+Datos!Q31)," - ")</f>
        <v>-4.179078066475949E-2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1822.8571428571429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5.8674441271132123</v>
      </c>
      <c r="F33" s="276">
        <f>IF(ISNUMBER(STDEV(F8:F30)),STDEV(F8:F30),"-")</f>
        <v>3076.8057462244833</v>
      </c>
      <c r="G33" s="277">
        <f>IF(ISNUMBER(STDEV(G8:G30)),STDEV(G8:G30),"-")</f>
        <v>2824.8699337946769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4966.7365351429517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817.05004606681086</v>
      </c>
      <c r="AJ33" s="276">
        <f t="shared" si="25"/>
        <v>0</v>
      </c>
      <c r="AK33" s="278">
        <f t="shared" si="25"/>
        <v>0</v>
      </c>
      <c r="AL33" s="273">
        <f t="shared" si="25"/>
        <v>7.6853939154320788E-2</v>
      </c>
      <c r="AM33" s="274">
        <f t="shared" si="25"/>
        <v>4.8970404399729635</v>
      </c>
      <c r="AN33" s="274">
        <f t="shared" si="25"/>
        <v>9.2233846227436453E-2</v>
      </c>
      <c r="AO33" s="275">
        <f t="shared" si="25"/>
        <v>1.6398645485418319</v>
      </c>
      <c r="AP33" s="317" t="str">
        <f t="shared" si="25"/>
        <v>-</v>
      </c>
      <c r="AQ33" s="318">
        <f t="shared" si="25"/>
        <v>0.85372052075013738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yVpMmXXonbz4OLBqcuMbSBPPGnskcgFg+SmUZVmjtuUTHO45FQfg8Tmo9Em9mS6yF4bho84z0f2zgOB5Xd6ptg==" saltValue="ak+jon3pyybKBvJ9hBQV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REGION DE MURCIA</v>
      </c>
      <c r="E2" s="287"/>
    </row>
    <row r="3" spans="2:20" ht="17.25" customHeight="1">
      <c r="C3" s="291"/>
      <c r="D3" s="286" t="str">
        <f>Criterios!A10 &amp;"  "&amp;Criterios!B10</f>
        <v>Provincias  MURCIA</v>
      </c>
      <c r="E3" s="287"/>
    </row>
    <row r="4" spans="2:20" ht="17.25" customHeight="1" thickBot="1">
      <c r="D4" s="286" t="str">
        <f>Criterios!A11 &amp;"  "&amp;Criterios!B11</f>
        <v>Resumenes por Partidos Judiciales  MURCIA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-0.18014705882352941</v>
      </c>
      <c r="I9" s="395">
        <f>IF(ISNUMBER((Tasas!C9-Datos!BE9)/Datos!BE9),(Tasas!C9-Datos!BE9)/Datos!BE9," - ")</f>
        <v>0.1080822900070951</v>
      </c>
      <c r="J9" s="394">
        <f>IF(ISNUMBER((Tasas!D9-Datos!BF9)/Datos!BF9),(Tasas!D9-Datos!BF9)/Datos!BF9," - ")</f>
        <v>-0.39525789393634247</v>
      </c>
      <c r="K9" s="396">
        <f>IF(ISNUMBER((Tasas!E9-Datos!BG9)/Datos!BG9),(Tasas!E9-Datos!BG9)/Datos!BG9," - ")</f>
        <v>8.6091706858778955E-2</v>
      </c>
      <c r="M9" t="e">
        <f>IF(Monitorios="SI",Datos!CE9,0)</f>
        <v>#REF!</v>
      </c>
      <c r="N9" t="e">
        <f>IF(Monitorios="SI",Datos!CF9,0)</f>
        <v>#REF!</v>
      </c>
      <c r="O9" t="e">
        <f>IF(Monitorios="SI",Datos!CG9,0)</f>
        <v>#REF!</v>
      </c>
      <c r="P9" t="e">
        <f>IF(Monitorios="SI",Datos!CH9,0)</f>
        <v>#REF!</v>
      </c>
      <c r="Q9">
        <f>IF(J_V="SI",0,Datos!AG9)</f>
        <v>593</v>
      </c>
      <c r="R9">
        <f>IF(J_V="SI",0,Datos!AH9)</f>
        <v>349</v>
      </c>
      <c r="S9">
        <f>IF(J_V="SI",0,Datos!AI9)</f>
        <v>499</v>
      </c>
      <c r="T9">
        <f>IF(J_V="SI",0,Datos!AJ9)</f>
        <v>444</v>
      </c>
    </row>
    <row r="10" spans="2:20" ht="14.25">
      <c r="B10" s="300" t="s">
        <v>321</v>
      </c>
      <c r="C10" s="7" t="str">
        <f>Datos!A10</f>
        <v>Jdos. Violencia contra la mujer</v>
      </c>
      <c r="D10" s="397">
        <f>IF(ISNUMBER((Datos!I10-Datos!S10)/Datos!S10),(Datos!I10-Datos!S10)/Datos!S10," - ")</f>
        <v>0.43378995433789952</v>
      </c>
      <c r="E10" s="393">
        <f>IF(ISNUMBER((Datos!J10-Datos!T10)/Datos!T10),(Datos!J10-Datos!T10)/Datos!T10," - ")</f>
        <v>0.46280991735537191</v>
      </c>
      <c r="F10" s="393">
        <f>IF(ISNUMBER((Datos!K10-Datos!U10)/Datos!U10),(Datos!K10-Datos!U10)/Datos!U10," - ")</f>
        <v>1.2048192771084338</v>
      </c>
      <c r="G10" s="394">
        <f>IF(ISNUMBER((Datos!L10-Datos!V10)/Datos!V10),(Datos!L10-Datos!V10)/Datos!V10," - ")</f>
        <v>0.19844357976653695</v>
      </c>
      <c r="H10" s="244">
        <f>IF(ISNUMBER((Datos!M10-Datos!W10)/Datos!W10),(Datos!M10-Datos!W10)/Datos!W10," - ")</f>
        <v>1.1428571428571428</v>
      </c>
      <c r="I10" s="395">
        <f>IF(ISNUMBER((Tasas!C10-Datos!BE10)/Datos!BE10),(Tasas!C10-Datos!BE10)/Datos!BE10," - ")</f>
        <v>-0.4564436222916799</v>
      </c>
      <c r="J10" s="394">
        <f>IF(ISNUMBER((Tasas!D10-Datos!BF10)/Datos!BF10),(Tasas!D10-Datos!BF10)/Datos!BF10," - ")</f>
        <v>-2.8103044496487067E-2</v>
      </c>
      <c r="K10" s="396">
        <f>IF(ISNUMBER((Tasas!E10-Datos!BG10)/Datos!BG10),(Tasas!E10-Datos!BG10)/Datos!BG10," - ")</f>
        <v>-0.34501767920282872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-0.26</v>
      </c>
      <c r="I11" s="395">
        <f>IF(ISNUMBER((Tasas!C11-Datos!BE11)/Datos!BE11),(Tasas!C11-Datos!BE11)/Datos!BE11," - ")</f>
        <v>7.566919636582653E-2</v>
      </c>
      <c r="J11" s="394">
        <f>IF(ISNUMBER((Tasas!D11-Datos!BF11)/Datos!BF11),(Tasas!D11-Datos!BF11)/Datos!BF11," - ")</f>
        <v>-0.31121548320833647</v>
      </c>
      <c r="K11" s="396">
        <f>IF(ISNUMBER((Tasas!E11-Datos!BG11)/Datos!BG11),(Tasas!E11-Datos!BG11)/Datos!BG11," - ")</f>
        <v>5.1811547137914742E-2</v>
      </c>
      <c r="M11" t="e">
        <f>IF(Monitorios="SI",Datos!CE11,0)</f>
        <v>#REF!</v>
      </c>
      <c r="N11" t="e">
        <f>IF(Monitorios="SI",Datos!CF11,0)</f>
        <v>#REF!</v>
      </c>
      <c r="O11" t="e">
        <f>IF(Monitorios="SI",Datos!CG11,0)</f>
        <v>#REF!</v>
      </c>
      <c r="P11" t="e">
        <f>IF(Monitorios="SI",Datos!CH11,0)</f>
        <v>#REF!</v>
      </c>
      <c r="Q11">
        <f>IF(J_V="SI",0,Datos!AG11)</f>
        <v>418</v>
      </c>
      <c r="R11">
        <f>IF(J_V="SI",0,Datos!AH11)</f>
        <v>460</v>
      </c>
      <c r="S11">
        <f>IF(J_V="SI",0,Datos!AI11)</f>
        <v>418</v>
      </c>
      <c r="T11">
        <f>IF(J_V="SI",0,Datos!AJ11)</f>
        <v>460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-0.18464961067853169</v>
      </c>
      <c r="I14" s="402">
        <f>IF(ISNUMBER((Tasas!C14-Datos!BE14)/Datos!BE14),(Tasas!C14-Datos!BE14)/Datos!BE14," - ")</f>
        <v>9.9007378103854543E-2</v>
      </c>
      <c r="J14" s="400">
        <f>IF(ISNUMBER((Tasas!D14-Datos!BF14)/Datos!BF14),(Tasas!D14-Datos!BF14)/Datos!BF14," - ")</f>
        <v>-0.380956910574277</v>
      </c>
      <c r="K14" s="403">
        <f>IF(ISNUMBER((Tasas!E14-Datos!BG14)/Datos!BG14),(Tasas!E14-Datos!BG14)/Datos!BG14," - ")</f>
        <v>7.7631323864202004E-2</v>
      </c>
      <c r="M14" t="e">
        <f>IF(Monitorios="SI",Datos!CE14,0)</f>
        <v>#REF!</v>
      </c>
      <c r="N14" t="e">
        <f>IF(Monitorios="SI",Datos!CF14,0)</f>
        <v>#REF!</v>
      </c>
      <c r="O14" t="e">
        <f>IF(Monitorios="SI",Datos!CG14,0)</f>
        <v>#REF!</v>
      </c>
      <c r="P14" t="e">
        <f>IF(Monitorios="SI",Datos!CH14,0)</f>
        <v>#REF!</v>
      </c>
      <c r="Q14">
        <f>IF(J_V="SI",0,Datos!AG14)</f>
        <v>1011</v>
      </c>
      <c r="R14">
        <f>IF(J_V="SI",0,Datos!AH14)</f>
        <v>809</v>
      </c>
      <c r="S14">
        <f>IF(J_V="SI",0,Datos!AI14)</f>
        <v>917</v>
      </c>
      <c r="T14">
        <f>IF(J_V="SI",0,Datos!AJ14)</f>
        <v>904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0.19823517340447364</v>
      </c>
      <c r="E16" s="393">
        <f>IF(ISNUMBER(
   IF(D_I="SI",(Datos!J16-Datos!T16)/Datos!T16,(Datos!J16+Datos!AD16-(Datos!T16+Datos!AL16))/(Datos!T16+Datos!AL16))
     ),IF(D_I="SI",(Datos!J16-Datos!T16)/Datos!T16,(Datos!J16+Datos!AD16-(Datos!T16+Datos!AL16))/(Datos!T16+Datos!AL16))," - ")</f>
        <v>7.7373211963589081E-2</v>
      </c>
      <c r="F16" s="393">
        <f>IF(ISNUMBER(
   IF(D_I="SI",(Datos!K16-Datos!U16)/Datos!U16,(Datos!K16+Datos!AE16-(Datos!U16+Datos!AM16))/(Datos!U16+Datos!AM16))
     ),IF(D_I="SI",(Datos!K16-Datos!U16)/Datos!U16,(Datos!K16+Datos!AE16-(Datos!U16+Datos!AM16))/(Datos!U16+Datos!AM16))," - ")</f>
        <v>6.9729729729729725E-2</v>
      </c>
      <c r="G16" s="394">
        <f>IF(ISNUMBER(
   IF(D_I="SI",(Datos!L16-Datos!V16)/Datos!V16,(Datos!L16+Datos!AF16-(Datos!V16+Datos!AN16))/(Datos!V16+Datos!AN16))
     ),IF(D_I="SI",(Datos!L16-Datos!V16)/Datos!V16,(Datos!L16+Datos!AF16-(Datos!V16+Datos!AN16))/(Datos!V16+Datos!AN16))," - ")</f>
        <v>0.23763570566948131</v>
      </c>
      <c r="H16" s="244">
        <f>IF(ISNUMBER((Datos!M16-Datos!W16)/Datos!W16),(Datos!M16-Datos!W16)/Datos!W16," - ")</f>
        <v>-0.10867178924259056</v>
      </c>
      <c r="I16" s="395">
        <f>IF(ISNUMBER((Tasas!C16-Datos!BE16)/Datos!BE16),(Tasas!C16-Datos!BE16)/Datos!BE16," - ")</f>
        <v>0.1569611194990097</v>
      </c>
      <c r="J16" s="394">
        <f>IF(ISNUMBER((Tasas!D16-Datos!BF16)/Datos!BF16),(Tasas!D16-Datos!BF16)/Datos!BF16," - ")</f>
        <v>-0.16677251647235597</v>
      </c>
      <c r="K16" s="396">
        <f>IF(ISNUMBER((Tasas!E16-Datos!BG16)/Datos!BG16),(Tasas!E16-Datos!BG16)/Datos!BG16," - ")</f>
        <v>4.6189944419955303E-2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9.6618357487922704E-2</v>
      </c>
      <c r="E18" s="393">
        <f>IF(ISNUMBER(
   IF(D_I="SI",(Datos!J18-Datos!T18)/Datos!T18,(Datos!J18+Datos!AD18-(Datos!T18+Datos!AL18))/(Datos!T18+Datos!AL18))
     ),IF(D_I="SI",(Datos!J18-Datos!T18)/Datos!T18,(Datos!J18+Datos!AD18-(Datos!T18+Datos!AL18))/(Datos!T18+Datos!AL18))," - ")</f>
        <v>0.22235023041474655</v>
      </c>
      <c r="F18" s="393">
        <f>IF(ISNUMBER(
   IF(D_I="SI",(Datos!K18-Datos!U18)/Datos!U18,(Datos!K18+Datos!AE18-(Datos!U18+Datos!AM18))/(Datos!U18+Datos!AM18))
     ),IF(D_I="SI",(Datos!K18-Datos!U18)/Datos!U18,(Datos!K18+Datos!AE18-(Datos!U18+Datos!AM18))/(Datos!U18+Datos!AM18))," - ")</f>
        <v>0.2275943396226415</v>
      </c>
      <c r="G18" s="394">
        <f>IF(ISNUMBER(
   IF(D_I="SI",(Datos!L18-Datos!V18)/Datos!V18,(Datos!L18+Datos!AF18-(Datos!V18+Datos!AN18))/(Datos!V18+Datos!AN18))
     ),IF(D_I="SI",(Datos!L18-Datos!V18)/Datos!V18,(Datos!L18+Datos!AF18-(Datos!V18+Datos!AN18))/(Datos!V18+Datos!AN18))," - ")</f>
        <v>0.29166666666666669</v>
      </c>
      <c r="H18" s="244">
        <f>IF(ISNUMBER((Datos!M18-Datos!W18)/Datos!W18),(Datos!M18-Datos!W18)/Datos!W18," - ")</f>
        <v>0.24242424242424243</v>
      </c>
      <c r="I18" s="395">
        <f>IF(ISNUMBER((Tasas!C18-Datos!BE18)/Datos!BE18),(Tasas!C18-Datos!BE18)/Datos!BE18," - ")</f>
        <v>5.219340377841819E-2</v>
      </c>
      <c r="J18" s="394">
        <f>IF(ISNUMBER((Tasas!D18-Datos!BF18)/Datos!BF18),(Tasas!D18-Datos!BF18)/Datos!BF18," - ")</f>
        <v>1.2080458766337754E-2</v>
      </c>
      <c r="K18" s="396">
        <f>IF(ISNUMBER((Tasas!E18-Datos!BG18)/Datos!BG18),(Tasas!E18-Datos!BG18)/Datos!BG18," - ")</f>
        <v>-2.3993923552934299E-2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0.19409448818897637</v>
      </c>
      <c r="E23" s="399">
        <f>IF(ISNUMBER(
   IF(D_I="SI",(Datos!J23-Datos!T23)/Datos!T23,(Datos!J23+Datos!AD23-(Datos!T23+Datos!AL23))/(Datos!T23+Datos!AL23))
     ),IF(D_I="SI",(Datos!J23-Datos!T23)/Datos!T23,(Datos!J23+Datos!AD23-(Datos!T23+Datos!AL23))/(Datos!T23+Datos!AL23))," - ")</f>
        <v>8.9837559429477021E-2</v>
      </c>
      <c r="F23" s="399">
        <f>IF(ISNUMBER(
   IF(D_I="SI",(Datos!K23-Datos!U23)/Datos!U23,(Datos!K23+Datos!AE23-(Datos!U23+Datos!AM23))/(Datos!U23+Datos!AM23))
     ),IF(D_I="SI",(Datos!K23-Datos!U23)/Datos!U23,(Datos!K23+Datos!AE23-(Datos!U23+Datos!AM23))/(Datos!U23+Datos!AM23))," - ")</f>
        <v>8.2986730045553569E-2</v>
      </c>
      <c r="G23" s="400">
        <f>IF(ISNUMBER(
   IF(D_I="SI",(Datos!L23-Datos!V23)/Datos!V23,(Datos!L23+Datos!AF23-(Datos!V23+Datos!AN23))/(Datos!V23+Datos!AN23))
     ),IF(D_I="SI",(Datos!L23-Datos!V23)/Datos!V23,(Datos!L23+Datos!AF23-(Datos!V23+Datos!AN23))/(Datos!V23+Datos!AN23))," - ")</f>
        <v>0.23964382500967868</v>
      </c>
      <c r="H23" s="401">
        <f>IF(ISNUMBER((Datos!M23-Datos!W23)/Datos!W23),(Datos!M23-Datos!W23)/Datos!W23," - ")</f>
        <v>-7.4257425742574254E-2</v>
      </c>
      <c r="I23" s="402">
        <f>IF(ISNUMBER((Tasas!C23-Datos!BE23)/Datos!BE23),(Tasas!C23-Datos!BE23)/Datos!BE23," - ")</f>
        <v>0.14465282964042936</v>
      </c>
      <c r="J23" s="400">
        <f>IF(ISNUMBER((Tasas!D23-Datos!BF23)/Datos!BF23),(Tasas!D23-Datos!BF23)/Datos!BF23," - ")</f>
        <v>-0.14519490537202942</v>
      </c>
      <c r="K23" s="403">
        <f>IF(ISNUMBER((Tasas!E23-Datos!BG23)/Datos!BG23),(Tasas!E23-Datos!BG23)/Datos!BG23," - ")</f>
        <v>3.8550514731032971E-2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1.0092961487383798E-2</v>
      </c>
      <c r="E31" s="409">
        <f>IF(ISNUMBER(
   IF(J_V="SI",(Datos!J31-Datos!T31)/Datos!T31,(Datos!J31+Datos!Z31-(Datos!T31+Datos!AH31))/(Datos!T31+Datos!AH31))
     ),IF(J_V="SI",(Datos!J31-Datos!T31)/Datos!T31,(Datos!J31+Datos!Z31-(Datos!T31+Datos!AH31))/(Datos!T31+Datos!AH31))," - ")</f>
        <v>0.1967194441280328</v>
      </c>
      <c r="F31" s="409">
        <f>IF(ISNUMBER(
   IF(J_V="SI",(Datos!K31-Datos!U31)/Datos!U31,(Datos!K31+Datos!AA31-(Datos!U31+Datos!AI31))/(Datos!U31+Datos!AI31))
     ),IF(J_V="SI",(Datos!K31-Datos!U31)/Datos!U31,(Datos!K31+Datos!AA31-(Datos!U31+Datos!AI31))/(Datos!U31+Datos!AI31))," - ")</f>
        <v>3.1864694342823817E-2</v>
      </c>
      <c r="G31" s="410">
        <f>IF(ISNUMBER(
   IF(J_V="SI",(Datos!L31-Datos!V31)/Datos!V31,(Datos!L31+Datos!AB31-(Datos!V31+Datos!AJ31))/(Datos!V31+Datos!AJ31))
     ),IF(J_V="SI",(Datos!L31-Datos!V31)/Datos!V31,(Datos!L31+Datos!AB31-(Datos!V31+Datos!AJ31))/(Datos!V31+Datos!AJ31))," - ")</f>
        <v>9.3433581209011338E-2</v>
      </c>
      <c r="H31" s="411">
        <f>IF(ISNUMBER((Datos!M31-Datos!W31)/Datos!W31),(Datos!M31-Datos!W31)/Datos!W31," - ")</f>
        <v>-0.15457243053682224</v>
      </c>
      <c r="I31" s="408">
        <f>IF(ISNUMBER((Tasas!C31-Datos!BE31)/Datos!BE31),(Tasas!C31-Datos!BE31)/Datos!BE31," - ")</f>
        <v>5.9667597121732745E-2</v>
      </c>
      <c r="J31" s="409">
        <f>IF(ISNUMBER((Tasas!D31-Datos!BF31)/Datos!BF31),(Tasas!D31-Datos!BF31)/Datos!BF31," - ")</f>
        <v>-0.34837590308233773</v>
      </c>
      <c r="K31" s="410">
        <f>IF(ISNUMBER((Tasas!E31-Datos!BG31)/Datos!BG31),(Tasas!E31-Datos!BG31)/Datos!BG31," - ")</f>
        <v>3.6421211907364998E-2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0.14331473977544085</v>
      </c>
      <c r="E33" s="303">
        <f t="shared" si="1"/>
        <v>0.17893760516169813</v>
      </c>
      <c r="F33" s="303">
        <f t="shared" si="1"/>
        <v>0.5437457637017894</v>
      </c>
      <c r="G33" s="304">
        <f t="shared" si="1"/>
        <v>3.824676480404194E-2</v>
      </c>
      <c r="H33" s="310">
        <f t="shared" si="1"/>
        <v>0.49475772165190046</v>
      </c>
      <c r="I33" s="302">
        <f t="shared" si="1"/>
        <v>0.21571638673277282</v>
      </c>
      <c r="J33" s="303">
        <f t="shared" si="1"/>
        <v>0.1642357610960791</v>
      </c>
      <c r="K33" s="304">
        <f t="shared" si="1"/>
        <v>0.1520309409189527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R5NEJjshXuHqv4UW5O7Y+/FKDjvVFNNhLd4M4xCKwMITxc+5uiNX/zfMeyv/Pkh6lttSp33Yd9JVhnXF9C/sA==" saltValue="sSdGFVuQ4Rsdo5NVXtRqk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2023-05-06T06:40:11Z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